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manuchap/Documents/SPR74/PSE/Xls/"/>
    </mc:Choice>
  </mc:AlternateContent>
  <xr:revisionPtr revIDLastSave="0" documentId="13_ncr:1_{FC2834EA-A34A-5745-81AE-47AEA21A6962}" xr6:coauthVersionLast="47" xr6:coauthVersionMax="47" xr10:uidLastSave="{00000000-0000-0000-0000-000000000000}"/>
  <bookViews>
    <workbookView xWindow="5440" yWindow="1420" windowWidth="29780" windowHeight="18960" xr2:uid="{EB38A742-B5D7-DB41-9ED4-CBD9FED751AE}"/>
  </bookViews>
  <sheets>
    <sheet name="Stats" sheetId="2" r:id="rId1"/>
    <sheet name="Data" sheetId="8" r:id="rId2"/>
    <sheet name="Calculs" sheetId="3" r:id="rId3"/>
    <sheet name="Top AS" sheetId="12" r:id="rId4"/>
    <sheet name="Pilotage" sheetId="11" state="hidden" r:id="rId5"/>
  </sheets>
  <definedNames>
    <definedName name="_xlnm._FilterDatabase" localSheetId="2" hidden="1">Calculs!$A$1:$AB$1318</definedName>
    <definedName name="_xlnm._FilterDatabase" localSheetId="1" hidden="1">Data!$A$1:$AC$1</definedName>
    <definedName name="datable2" localSheetId="1">Data!#REF!</definedName>
    <definedName name="e">Calculs!$A$6</definedName>
    <definedName name="ferme">Calculs!$A$5</definedName>
    <definedName name="nbrpe">Calculs!$A$15</definedName>
    <definedName name="nbrrqth">Calculs!$A$7</definedName>
    <definedName name="nbrrsa">Calculs!$A$9</definedName>
    <definedName name="nonvalides">Calculs!$A$4</definedName>
    <definedName name="nope">Calculs!$A$6</definedName>
    <definedName name="perrqth">Calculs!$A$8</definedName>
    <definedName name="perrsa">Calculs!$A$10</definedName>
    <definedName name="prescrits">Calculs!$A$2</definedName>
    <definedName name="refus">Calculs!$A$6</definedName>
    <definedName name="refuse">Calculs!$A$6</definedName>
    <definedName name="req" localSheetId="1">Data!$A$1:$AC$587</definedName>
    <definedName name="valides">Calculs!$A$3</definedName>
  </definedNames>
  <calcPr calcId="191029"/>
  <pivotCaches>
    <pivotCache cacheId="0" r:id="rId6"/>
    <pivotCache cacheId="5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3" l="1"/>
  <c r="M7" i="3"/>
  <c r="K32" i="3"/>
  <c r="K31" i="3"/>
  <c r="K30" i="3"/>
  <c r="K29" i="3"/>
  <c r="H18" i="3"/>
  <c r="H9" i="3"/>
  <c r="AB3" i="3"/>
  <c r="E7" i="2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I1265" i="3"/>
  <c r="I1266" i="3"/>
  <c r="I1267" i="3"/>
  <c r="I1268" i="3"/>
  <c r="I1269" i="3"/>
  <c r="I1270" i="3"/>
  <c r="I1271" i="3"/>
  <c r="I1272" i="3"/>
  <c r="I1273" i="3"/>
  <c r="I1274" i="3"/>
  <c r="I1275" i="3"/>
  <c r="I1276" i="3"/>
  <c r="I1277" i="3"/>
  <c r="I1278" i="3"/>
  <c r="I1279" i="3"/>
  <c r="I1280" i="3"/>
  <c r="I1281" i="3"/>
  <c r="I1282" i="3"/>
  <c r="I1283" i="3"/>
  <c r="I1284" i="3"/>
  <c r="I1285" i="3"/>
  <c r="I1286" i="3"/>
  <c r="I1287" i="3"/>
  <c r="I1288" i="3"/>
  <c r="I1289" i="3"/>
  <c r="I1290" i="3"/>
  <c r="I1291" i="3"/>
  <c r="I1292" i="3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I1311" i="3"/>
  <c r="I1312" i="3"/>
  <c r="I1313" i="3"/>
  <c r="I1314" i="3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6" i="3"/>
  <c r="I1347" i="3"/>
  <c r="I1348" i="3"/>
  <c r="I1349" i="3"/>
  <c r="I1350" i="3"/>
  <c r="I1351" i="3"/>
  <c r="I1352" i="3"/>
  <c r="I1353" i="3"/>
  <c r="I1354" i="3"/>
  <c r="I1355" i="3"/>
  <c r="I1356" i="3"/>
  <c r="I1357" i="3"/>
  <c r="I1358" i="3"/>
  <c r="I1359" i="3"/>
  <c r="I1360" i="3"/>
  <c r="I1361" i="3"/>
  <c r="I1362" i="3"/>
  <c r="I1363" i="3"/>
  <c r="I1364" i="3"/>
  <c r="I1365" i="3"/>
  <c r="I1366" i="3"/>
  <c r="I1367" i="3"/>
  <c r="I1368" i="3"/>
  <c r="I1369" i="3"/>
  <c r="I1370" i="3"/>
  <c r="I1371" i="3"/>
  <c r="I1372" i="3"/>
  <c r="I1373" i="3"/>
  <c r="I1374" i="3"/>
  <c r="I1375" i="3"/>
  <c r="I1376" i="3"/>
  <c r="I1377" i="3"/>
  <c r="I1378" i="3"/>
  <c r="I1379" i="3"/>
  <c r="I1380" i="3"/>
  <c r="I1381" i="3"/>
  <c r="I1382" i="3"/>
  <c r="I1383" i="3"/>
  <c r="I1384" i="3"/>
  <c r="I1385" i="3"/>
  <c r="I1386" i="3"/>
  <c r="I1387" i="3"/>
  <c r="I1388" i="3"/>
  <c r="I1389" i="3"/>
  <c r="I1390" i="3"/>
  <c r="I1391" i="3"/>
  <c r="I1392" i="3"/>
  <c r="I1393" i="3"/>
  <c r="I1394" i="3"/>
  <c r="I1395" i="3"/>
  <c r="I1396" i="3"/>
  <c r="I1397" i="3"/>
  <c r="I1398" i="3"/>
  <c r="I1399" i="3"/>
  <c r="I1400" i="3"/>
  <c r="I1401" i="3"/>
  <c r="I1402" i="3"/>
  <c r="I1403" i="3"/>
  <c r="I1404" i="3"/>
  <c r="I1405" i="3"/>
  <c r="I1406" i="3"/>
  <c r="I1407" i="3"/>
  <c r="I1408" i="3"/>
  <c r="I1409" i="3"/>
  <c r="I1410" i="3"/>
  <c r="I1411" i="3"/>
  <c r="I1412" i="3"/>
  <c r="I1413" i="3"/>
  <c r="I1414" i="3"/>
  <c r="I1415" i="3"/>
  <c r="I1416" i="3"/>
  <c r="I1417" i="3"/>
  <c r="I1418" i="3"/>
  <c r="I1419" i="3"/>
  <c r="I1420" i="3"/>
  <c r="I1421" i="3"/>
  <c r="I1422" i="3"/>
  <c r="I1423" i="3"/>
  <c r="I1424" i="3"/>
  <c r="I1425" i="3"/>
  <c r="I1426" i="3"/>
  <c r="I1427" i="3"/>
  <c r="I1428" i="3"/>
  <c r="I1429" i="3"/>
  <c r="I1430" i="3"/>
  <c r="I1431" i="3"/>
  <c r="I1432" i="3"/>
  <c r="I1433" i="3"/>
  <c r="I1434" i="3"/>
  <c r="I1435" i="3"/>
  <c r="I1436" i="3"/>
  <c r="I1437" i="3"/>
  <c r="I1438" i="3"/>
  <c r="I1439" i="3"/>
  <c r="I1440" i="3"/>
  <c r="I1441" i="3"/>
  <c r="I1442" i="3"/>
  <c r="I1443" i="3"/>
  <c r="I1444" i="3"/>
  <c r="I1445" i="3"/>
  <c r="I1446" i="3"/>
  <c r="I1447" i="3"/>
  <c r="I1448" i="3"/>
  <c r="I1449" i="3"/>
  <c r="I1450" i="3"/>
  <c r="I1451" i="3"/>
  <c r="I1452" i="3"/>
  <c r="I1453" i="3"/>
  <c r="I1454" i="3"/>
  <c r="I1455" i="3"/>
  <c r="I1456" i="3"/>
  <c r="I1457" i="3"/>
  <c r="I1458" i="3"/>
  <c r="I1459" i="3"/>
  <c r="I1460" i="3"/>
  <c r="I1461" i="3"/>
  <c r="I1462" i="3"/>
  <c r="I1463" i="3"/>
  <c r="I1464" i="3"/>
  <c r="I1465" i="3"/>
  <c r="I1466" i="3"/>
  <c r="I1467" i="3"/>
  <c r="I1468" i="3"/>
  <c r="I1469" i="3"/>
  <c r="I1470" i="3"/>
  <c r="I1471" i="3"/>
  <c r="I1472" i="3"/>
  <c r="I1473" i="3"/>
  <c r="I1474" i="3"/>
  <c r="I1475" i="3"/>
  <c r="I1476" i="3"/>
  <c r="I1477" i="3"/>
  <c r="I1478" i="3"/>
  <c r="I1479" i="3"/>
  <c r="I1480" i="3"/>
  <c r="I1481" i="3"/>
  <c r="I1482" i="3"/>
  <c r="I1483" i="3"/>
  <c r="I1484" i="3"/>
  <c r="I1485" i="3"/>
  <c r="I1486" i="3"/>
  <c r="I1487" i="3"/>
  <c r="I1488" i="3"/>
  <c r="I1489" i="3"/>
  <c r="I1490" i="3"/>
  <c r="I1491" i="3"/>
  <c r="I1492" i="3"/>
  <c r="I1493" i="3"/>
  <c r="I1494" i="3"/>
  <c r="I1495" i="3"/>
  <c r="I1496" i="3"/>
  <c r="I1497" i="3"/>
  <c r="I1498" i="3"/>
  <c r="I1499" i="3"/>
  <c r="I1500" i="3"/>
  <c r="N497" i="3"/>
  <c r="O497" i="3"/>
  <c r="P497" i="3"/>
  <c r="Q497" i="3"/>
  <c r="R497" i="3"/>
  <c r="N498" i="3"/>
  <c r="O498" i="3"/>
  <c r="P498" i="3"/>
  <c r="Q498" i="3"/>
  <c r="R498" i="3"/>
  <c r="N499" i="3"/>
  <c r="O499" i="3"/>
  <c r="P499" i="3"/>
  <c r="Q499" i="3"/>
  <c r="R499" i="3"/>
  <c r="N500" i="3"/>
  <c r="O500" i="3"/>
  <c r="P500" i="3"/>
  <c r="Q500" i="3"/>
  <c r="R500" i="3"/>
  <c r="N501" i="3"/>
  <c r="O501" i="3"/>
  <c r="P501" i="3"/>
  <c r="Q501" i="3"/>
  <c r="R501" i="3"/>
  <c r="N502" i="3"/>
  <c r="O502" i="3"/>
  <c r="P502" i="3"/>
  <c r="Q502" i="3"/>
  <c r="R502" i="3"/>
  <c r="N503" i="3"/>
  <c r="O503" i="3"/>
  <c r="P503" i="3"/>
  <c r="Q503" i="3"/>
  <c r="R503" i="3"/>
  <c r="N504" i="3"/>
  <c r="O504" i="3"/>
  <c r="P504" i="3"/>
  <c r="Q504" i="3"/>
  <c r="R504" i="3"/>
  <c r="N505" i="3"/>
  <c r="O505" i="3"/>
  <c r="P505" i="3"/>
  <c r="Q505" i="3"/>
  <c r="R505" i="3"/>
  <c r="N506" i="3"/>
  <c r="O506" i="3"/>
  <c r="P506" i="3"/>
  <c r="Q506" i="3"/>
  <c r="R506" i="3"/>
  <c r="N507" i="3"/>
  <c r="O507" i="3"/>
  <c r="P507" i="3"/>
  <c r="Q507" i="3"/>
  <c r="R507" i="3"/>
  <c r="N508" i="3"/>
  <c r="O508" i="3"/>
  <c r="P508" i="3"/>
  <c r="Q508" i="3"/>
  <c r="R508" i="3"/>
  <c r="N509" i="3"/>
  <c r="O509" i="3"/>
  <c r="P509" i="3"/>
  <c r="Q509" i="3"/>
  <c r="R509" i="3"/>
  <c r="N510" i="3"/>
  <c r="O510" i="3"/>
  <c r="P510" i="3"/>
  <c r="Q510" i="3"/>
  <c r="R510" i="3"/>
  <c r="N511" i="3"/>
  <c r="O511" i="3"/>
  <c r="P511" i="3"/>
  <c r="Q511" i="3"/>
  <c r="R511" i="3"/>
  <c r="N512" i="3"/>
  <c r="O512" i="3"/>
  <c r="P512" i="3"/>
  <c r="Q512" i="3"/>
  <c r="R512" i="3"/>
  <c r="N513" i="3"/>
  <c r="O513" i="3"/>
  <c r="P513" i="3"/>
  <c r="Q513" i="3"/>
  <c r="R513" i="3"/>
  <c r="N514" i="3"/>
  <c r="O514" i="3"/>
  <c r="P514" i="3"/>
  <c r="Q514" i="3"/>
  <c r="R514" i="3"/>
  <c r="N515" i="3"/>
  <c r="O515" i="3"/>
  <c r="P515" i="3"/>
  <c r="Q515" i="3"/>
  <c r="R515" i="3"/>
  <c r="N516" i="3"/>
  <c r="O516" i="3"/>
  <c r="P516" i="3"/>
  <c r="Q516" i="3"/>
  <c r="R516" i="3"/>
  <c r="N517" i="3"/>
  <c r="O517" i="3"/>
  <c r="P517" i="3"/>
  <c r="Q517" i="3"/>
  <c r="R517" i="3"/>
  <c r="N518" i="3"/>
  <c r="O518" i="3"/>
  <c r="P518" i="3"/>
  <c r="Q518" i="3"/>
  <c r="R518" i="3"/>
  <c r="N519" i="3"/>
  <c r="O519" i="3"/>
  <c r="P519" i="3"/>
  <c r="Q519" i="3"/>
  <c r="R519" i="3"/>
  <c r="N520" i="3"/>
  <c r="O520" i="3"/>
  <c r="P520" i="3"/>
  <c r="Q520" i="3"/>
  <c r="R520" i="3"/>
  <c r="N521" i="3"/>
  <c r="O521" i="3"/>
  <c r="P521" i="3"/>
  <c r="Q521" i="3"/>
  <c r="R521" i="3"/>
  <c r="N522" i="3"/>
  <c r="O522" i="3"/>
  <c r="P522" i="3"/>
  <c r="Q522" i="3"/>
  <c r="R522" i="3"/>
  <c r="N523" i="3"/>
  <c r="O523" i="3"/>
  <c r="P523" i="3"/>
  <c r="Q523" i="3"/>
  <c r="R523" i="3"/>
  <c r="N524" i="3"/>
  <c r="O524" i="3"/>
  <c r="P524" i="3"/>
  <c r="Q524" i="3"/>
  <c r="R524" i="3"/>
  <c r="N525" i="3"/>
  <c r="O525" i="3"/>
  <c r="P525" i="3"/>
  <c r="Q525" i="3"/>
  <c r="R525" i="3"/>
  <c r="N526" i="3"/>
  <c r="O526" i="3"/>
  <c r="P526" i="3"/>
  <c r="Q526" i="3"/>
  <c r="R526" i="3"/>
  <c r="N527" i="3"/>
  <c r="O527" i="3"/>
  <c r="P527" i="3"/>
  <c r="Q527" i="3"/>
  <c r="R527" i="3"/>
  <c r="N528" i="3"/>
  <c r="O528" i="3"/>
  <c r="P528" i="3"/>
  <c r="Q528" i="3"/>
  <c r="R528" i="3"/>
  <c r="N529" i="3"/>
  <c r="O529" i="3"/>
  <c r="P529" i="3"/>
  <c r="Q529" i="3"/>
  <c r="R529" i="3"/>
  <c r="N530" i="3"/>
  <c r="O530" i="3"/>
  <c r="P530" i="3"/>
  <c r="Q530" i="3"/>
  <c r="R530" i="3"/>
  <c r="N531" i="3"/>
  <c r="O531" i="3"/>
  <c r="P531" i="3"/>
  <c r="Q531" i="3"/>
  <c r="R531" i="3"/>
  <c r="N532" i="3"/>
  <c r="O532" i="3"/>
  <c r="P532" i="3"/>
  <c r="Q532" i="3"/>
  <c r="R532" i="3"/>
  <c r="N533" i="3"/>
  <c r="O533" i="3"/>
  <c r="P533" i="3"/>
  <c r="Q533" i="3"/>
  <c r="R533" i="3"/>
  <c r="N534" i="3"/>
  <c r="O534" i="3"/>
  <c r="P534" i="3"/>
  <c r="Q534" i="3"/>
  <c r="R534" i="3"/>
  <c r="N535" i="3"/>
  <c r="O535" i="3"/>
  <c r="P535" i="3"/>
  <c r="Q535" i="3"/>
  <c r="R535" i="3"/>
  <c r="N536" i="3"/>
  <c r="O536" i="3"/>
  <c r="P536" i="3"/>
  <c r="Q536" i="3"/>
  <c r="R536" i="3"/>
  <c r="N537" i="3"/>
  <c r="O537" i="3"/>
  <c r="P537" i="3"/>
  <c r="Q537" i="3"/>
  <c r="R537" i="3"/>
  <c r="N538" i="3"/>
  <c r="O538" i="3"/>
  <c r="P538" i="3"/>
  <c r="Q538" i="3"/>
  <c r="R538" i="3"/>
  <c r="N539" i="3"/>
  <c r="O539" i="3"/>
  <c r="P539" i="3"/>
  <c r="Q539" i="3"/>
  <c r="R539" i="3"/>
  <c r="N540" i="3"/>
  <c r="O540" i="3"/>
  <c r="P540" i="3"/>
  <c r="Q540" i="3"/>
  <c r="R540" i="3"/>
  <c r="N541" i="3"/>
  <c r="O541" i="3"/>
  <c r="P541" i="3"/>
  <c r="Q541" i="3"/>
  <c r="R541" i="3"/>
  <c r="N542" i="3"/>
  <c r="O542" i="3"/>
  <c r="P542" i="3"/>
  <c r="Q542" i="3"/>
  <c r="R542" i="3"/>
  <c r="N543" i="3"/>
  <c r="O543" i="3"/>
  <c r="P543" i="3"/>
  <c r="Q543" i="3"/>
  <c r="R543" i="3"/>
  <c r="N544" i="3"/>
  <c r="O544" i="3"/>
  <c r="P544" i="3"/>
  <c r="Q544" i="3"/>
  <c r="R544" i="3"/>
  <c r="N545" i="3"/>
  <c r="O545" i="3"/>
  <c r="P545" i="3"/>
  <c r="Q545" i="3"/>
  <c r="R545" i="3"/>
  <c r="N546" i="3"/>
  <c r="O546" i="3"/>
  <c r="P546" i="3"/>
  <c r="Q546" i="3"/>
  <c r="R546" i="3"/>
  <c r="N547" i="3"/>
  <c r="O547" i="3"/>
  <c r="P547" i="3"/>
  <c r="Q547" i="3"/>
  <c r="R547" i="3"/>
  <c r="N548" i="3"/>
  <c r="O548" i="3"/>
  <c r="P548" i="3"/>
  <c r="Q548" i="3"/>
  <c r="R548" i="3"/>
  <c r="N549" i="3"/>
  <c r="O549" i="3"/>
  <c r="P549" i="3"/>
  <c r="Q549" i="3"/>
  <c r="R549" i="3"/>
  <c r="N550" i="3"/>
  <c r="O550" i="3"/>
  <c r="P550" i="3"/>
  <c r="Q550" i="3"/>
  <c r="R550" i="3"/>
  <c r="N551" i="3"/>
  <c r="O551" i="3"/>
  <c r="P551" i="3"/>
  <c r="Q551" i="3"/>
  <c r="R551" i="3"/>
  <c r="N552" i="3"/>
  <c r="O552" i="3"/>
  <c r="P552" i="3"/>
  <c r="Q552" i="3"/>
  <c r="R552" i="3"/>
  <c r="N553" i="3"/>
  <c r="O553" i="3"/>
  <c r="P553" i="3"/>
  <c r="Q553" i="3"/>
  <c r="R553" i="3"/>
  <c r="N554" i="3"/>
  <c r="O554" i="3"/>
  <c r="P554" i="3"/>
  <c r="Q554" i="3"/>
  <c r="R554" i="3"/>
  <c r="N555" i="3"/>
  <c r="O555" i="3"/>
  <c r="P555" i="3"/>
  <c r="Q555" i="3"/>
  <c r="R555" i="3"/>
  <c r="N556" i="3"/>
  <c r="O556" i="3"/>
  <c r="P556" i="3"/>
  <c r="Q556" i="3"/>
  <c r="R556" i="3"/>
  <c r="N557" i="3"/>
  <c r="O557" i="3"/>
  <c r="P557" i="3"/>
  <c r="Q557" i="3"/>
  <c r="R557" i="3"/>
  <c r="N558" i="3"/>
  <c r="O558" i="3"/>
  <c r="P558" i="3"/>
  <c r="Q558" i="3"/>
  <c r="R558" i="3"/>
  <c r="N559" i="3"/>
  <c r="O559" i="3"/>
  <c r="P559" i="3"/>
  <c r="Q559" i="3"/>
  <c r="R559" i="3"/>
  <c r="N560" i="3"/>
  <c r="O560" i="3"/>
  <c r="P560" i="3"/>
  <c r="Q560" i="3"/>
  <c r="R560" i="3"/>
  <c r="N561" i="3"/>
  <c r="O561" i="3"/>
  <c r="P561" i="3"/>
  <c r="Q561" i="3"/>
  <c r="R561" i="3"/>
  <c r="N562" i="3"/>
  <c r="O562" i="3"/>
  <c r="P562" i="3"/>
  <c r="Q562" i="3"/>
  <c r="R562" i="3"/>
  <c r="N563" i="3"/>
  <c r="O563" i="3"/>
  <c r="P563" i="3"/>
  <c r="Q563" i="3"/>
  <c r="R563" i="3"/>
  <c r="N564" i="3"/>
  <c r="O564" i="3"/>
  <c r="P564" i="3"/>
  <c r="Q564" i="3"/>
  <c r="R564" i="3"/>
  <c r="N565" i="3"/>
  <c r="O565" i="3"/>
  <c r="P565" i="3"/>
  <c r="Q565" i="3"/>
  <c r="R565" i="3"/>
  <c r="N566" i="3"/>
  <c r="O566" i="3"/>
  <c r="P566" i="3"/>
  <c r="Q566" i="3"/>
  <c r="R566" i="3"/>
  <c r="N567" i="3"/>
  <c r="O567" i="3"/>
  <c r="P567" i="3"/>
  <c r="Q567" i="3"/>
  <c r="R567" i="3"/>
  <c r="N568" i="3"/>
  <c r="O568" i="3"/>
  <c r="P568" i="3"/>
  <c r="Q568" i="3"/>
  <c r="R568" i="3"/>
  <c r="N569" i="3"/>
  <c r="O569" i="3"/>
  <c r="P569" i="3"/>
  <c r="Q569" i="3"/>
  <c r="R569" i="3"/>
  <c r="N570" i="3"/>
  <c r="O570" i="3"/>
  <c r="P570" i="3"/>
  <c r="Q570" i="3"/>
  <c r="R570" i="3"/>
  <c r="N571" i="3"/>
  <c r="O571" i="3"/>
  <c r="P571" i="3"/>
  <c r="Q571" i="3"/>
  <c r="R571" i="3"/>
  <c r="N572" i="3"/>
  <c r="O572" i="3"/>
  <c r="P572" i="3"/>
  <c r="Q572" i="3"/>
  <c r="R572" i="3"/>
  <c r="N573" i="3"/>
  <c r="O573" i="3"/>
  <c r="P573" i="3"/>
  <c r="Q573" i="3"/>
  <c r="R573" i="3"/>
  <c r="N574" i="3"/>
  <c r="O574" i="3"/>
  <c r="P574" i="3"/>
  <c r="Q574" i="3"/>
  <c r="R574" i="3"/>
  <c r="N575" i="3"/>
  <c r="O575" i="3"/>
  <c r="P575" i="3"/>
  <c r="Q575" i="3"/>
  <c r="R575" i="3"/>
  <c r="N576" i="3"/>
  <c r="O576" i="3"/>
  <c r="P576" i="3"/>
  <c r="Q576" i="3"/>
  <c r="R576" i="3"/>
  <c r="N577" i="3"/>
  <c r="O577" i="3"/>
  <c r="P577" i="3"/>
  <c r="Q577" i="3"/>
  <c r="R577" i="3"/>
  <c r="N578" i="3"/>
  <c r="O578" i="3"/>
  <c r="P578" i="3"/>
  <c r="Q578" i="3"/>
  <c r="R578" i="3"/>
  <c r="N579" i="3"/>
  <c r="O579" i="3"/>
  <c r="P579" i="3"/>
  <c r="Q579" i="3"/>
  <c r="R579" i="3"/>
  <c r="N580" i="3"/>
  <c r="O580" i="3"/>
  <c r="P580" i="3"/>
  <c r="Q580" i="3"/>
  <c r="R580" i="3"/>
  <c r="N581" i="3"/>
  <c r="O581" i="3"/>
  <c r="P581" i="3"/>
  <c r="Q581" i="3"/>
  <c r="R581" i="3"/>
  <c r="N582" i="3"/>
  <c r="O582" i="3"/>
  <c r="P582" i="3"/>
  <c r="Q582" i="3"/>
  <c r="R582" i="3"/>
  <c r="N583" i="3"/>
  <c r="O583" i="3"/>
  <c r="P583" i="3"/>
  <c r="Q583" i="3"/>
  <c r="R583" i="3"/>
  <c r="N584" i="3"/>
  <c r="O584" i="3"/>
  <c r="P584" i="3"/>
  <c r="Q584" i="3"/>
  <c r="R584" i="3"/>
  <c r="N585" i="3"/>
  <c r="O585" i="3"/>
  <c r="P585" i="3"/>
  <c r="Q585" i="3"/>
  <c r="R585" i="3"/>
  <c r="N586" i="3"/>
  <c r="O586" i="3"/>
  <c r="P586" i="3"/>
  <c r="Q586" i="3"/>
  <c r="R586" i="3"/>
  <c r="N587" i="3"/>
  <c r="O587" i="3"/>
  <c r="P587" i="3"/>
  <c r="Q587" i="3"/>
  <c r="R587" i="3"/>
  <c r="N588" i="3"/>
  <c r="O588" i="3"/>
  <c r="P588" i="3"/>
  <c r="Q588" i="3"/>
  <c r="R588" i="3"/>
  <c r="N589" i="3"/>
  <c r="O589" i="3"/>
  <c r="P589" i="3"/>
  <c r="Q589" i="3"/>
  <c r="R589" i="3"/>
  <c r="N590" i="3"/>
  <c r="O590" i="3"/>
  <c r="P590" i="3"/>
  <c r="Q590" i="3"/>
  <c r="R590" i="3"/>
  <c r="N591" i="3"/>
  <c r="O591" i="3"/>
  <c r="P591" i="3"/>
  <c r="Q591" i="3"/>
  <c r="R591" i="3"/>
  <c r="N592" i="3"/>
  <c r="O592" i="3"/>
  <c r="P592" i="3"/>
  <c r="Q592" i="3"/>
  <c r="R592" i="3"/>
  <c r="N593" i="3"/>
  <c r="O593" i="3"/>
  <c r="P593" i="3"/>
  <c r="Q593" i="3"/>
  <c r="R593" i="3"/>
  <c r="N594" i="3"/>
  <c r="O594" i="3"/>
  <c r="P594" i="3"/>
  <c r="Q594" i="3"/>
  <c r="R594" i="3"/>
  <c r="N595" i="3"/>
  <c r="O595" i="3"/>
  <c r="P595" i="3"/>
  <c r="Q595" i="3"/>
  <c r="R595" i="3"/>
  <c r="N596" i="3"/>
  <c r="O596" i="3"/>
  <c r="P596" i="3"/>
  <c r="Q596" i="3"/>
  <c r="R596" i="3"/>
  <c r="N597" i="3"/>
  <c r="O597" i="3"/>
  <c r="P597" i="3"/>
  <c r="Q597" i="3"/>
  <c r="R597" i="3"/>
  <c r="N598" i="3"/>
  <c r="O598" i="3"/>
  <c r="P598" i="3"/>
  <c r="Q598" i="3"/>
  <c r="R598" i="3"/>
  <c r="N599" i="3"/>
  <c r="O599" i="3"/>
  <c r="P599" i="3"/>
  <c r="Q599" i="3"/>
  <c r="R599" i="3"/>
  <c r="N600" i="3"/>
  <c r="O600" i="3"/>
  <c r="P600" i="3"/>
  <c r="Q600" i="3"/>
  <c r="R600" i="3"/>
  <c r="N601" i="3"/>
  <c r="O601" i="3"/>
  <c r="P601" i="3"/>
  <c r="Q601" i="3"/>
  <c r="R601" i="3"/>
  <c r="N602" i="3"/>
  <c r="O602" i="3"/>
  <c r="P602" i="3"/>
  <c r="Q602" i="3"/>
  <c r="R602" i="3"/>
  <c r="N603" i="3"/>
  <c r="O603" i="3"/>
  <c r="P603" i="3"/>
  <c r="Q603" i="3"/>
  <c r="R603" i="3"/>
  <c r="N604" i="3"/>
  <c r="O604" i="3"/>
  <c r="P604" i="3"/>
  <c r="Q604" i="3"/>
  <c r="R604" i="3"/>
  <c r="N605" i="3"/>
  <c r="O605" i="3"/>
  <c r="P605" i="3"/>
  <c r="Q605" i="3"/>
  <c r="R605" i="3"/>
  <c r="N606" i="3"/>
  <c r="O606" i="3"/>
  <c r="P606" i="3"/>
  <c r="Q606" i="3"/>
  <c r="R606" i="3"/>
  <c r="N607" i="3"/>
  <c r="O607" i="3"/>
  <c r="P607" i="3"/>
  <c r="Q607" i="3"/>
  <c r="R607" i="3"/>
  <c r="N608" i="3"/>
  <c r="O608" i="3"/>
  <c r="P608" i="3"/>
  <c r="Q608" i="3"/>
  <c r="R608" i="3"/>
  <c r="N609" i="3"/>
  <c r="O609" i="3"/>
  <c r="P609" i="3"/>
  <c r="Q609" i="3"/>
  <c r="R609" i="3"/>
  <c r="N610" i="3"/>
  <c r="O610" i="3"/>
  <c r="P610" i="3"/>
  <c r="Q610" i="3"/>
  <c r="R610" i="3"/>
  <c r="N611" i="3"/>
  <c r="O611" i="3"/>
  <c r="P611" i="3"/>
  <c r="Q611" i="3"/>
  <c r="R611" i="3"/>
  <c r="N612" i="3"/>
  <c r="O612" i="3"/>
  <c r="P612" i="3"/>
  <c r="Q612" i="3"/>
  <c r="R612" i="3"/>
  <c r="N613" i="3"/>
  <c r="O613" i="3"/>
  <c r="P613" i="3"/>
  <c r="Q613" i="3"/>
  <c r="R613" i="3"/>
  <c r="N614" i="3"/>
  <c r="O614" i="3"/>
  <c r="P614" i="3"/>
  <c r="Q614" i="3"/>
  <c r="R614" i="3"/>
  <c r="N615" i="3"/>
  <c r="O615" i="3"/>
  <c r="P615" i="3"/>
  <c r="Q615" i="3"/>
  <c r="R615" i="3"/>
  <c r="N616" i="3"/>
  <c r="O616" i="3"/>
  <c r="P616" i="3"/>
  <c r="Q616" i="3"/>
  <c r="R616" i="3"/>
  <c r="N617" i="3"/>
  <c r="O617" i="3"/>
  <c r="P617" i="3"/>
  <c r="Q617" i="3"/>
  <c r="R617" i="3"/>
  <c r="N618" i="3"/>
  <c r="O618" i="3"/>
  <c r="P618" i="3"/>
  <c r="Q618" i="3"/>
  <c r="R618" i="3"/>
  <c r="N619" i="3"/>
  <c r="O619" i="3"/>
  <c r="P619" i="3"/>
  <c r="Q619" i="3"/>
  <c r="R619" i="3"/>
  <c r="N620" i="3"/>
  <c r="O620" i="3"/>
  <c r="P620" i="3"/>
  <c r="Q620" i="3"/>
  <c r="R620" i="3"/>
  <c r="N621" i="3"/>
  <c r="O621" i="3"/>
  <c r="P621" i="3"/>
  <c r="Q621" i="3"/>
  <c r="R621" i="3"/>
  <c r="N622" i="3"/>
  <c r="O622" i="3"/>
  <c r="P622" i="3"/>
  <c r="Q622" i="3"/>
  <c r="R622" i="3"/>
  <c r="N623" i="3"/>
  <c r="O623" i="3"/>
  <c r="P623" i="3"/>
  <c r="Q623" i="3"/>
  <c r="R623" i="3"/>
  <c r="N624" i="3"/>
  <c r="O624" i="3"/>
  <c r="P624" i="3"/>
  <c r="Q624" i="3"/>
  <c r="R624" i="3"/>
  <c r="N625" i="3"/>
  <c r="O625" i="3"/>
  <c r="P625" i="3"/>
  <c r="Q625" i="3"/>
  <c r="R625" i="3"/>
  <c r="N626" i="3"/>
  <c r="O626" i="3"/>
  <c r="P626" i="3"/>
  <c r="Q626" i="3"/>
  <c r="R626" i="3"/>
  <c r="N627" i="3"/>
  <c r="O627" i="3"/>
  <c r="P627" i="3"/>
  <c r="Q627" i="3"/>
  <c r="R627" i="3"/>
  <c r="N628" i="3"/>
  <c r="O628" i="3"/>
  <c r="P628" i="3"/>
  <c r="Q628" i="3"/>
  <c r="R628" i="3"/>
  <c r="N629" i="3"/>
  <c r="O629" i="3"/>
  <c r="P629" i="3"/>
  <c r="Q629" i="3"/>
  <c r="R629" i="3"/>
  <c r="N630" i="3"/>
  <c r="O630" i="3"/>
  <c r="P630" i="3"/>
  <c r="Q630" i="3"/>
  <c r="R630" i="3"/>
  <c r="N631" i="3"/>
  <c r="O631" i="3"/>
  <c r="P631" i="3"/>
  <c r="Q631" i="3"/>
  <c r="R631" i="3"/>
  <c r="N632" i="3"/>
  <c r="O632" i="3"/>
  <c r="P632" i="3"/>
  <c r="Q632" i="3"/>
  <c r="R632" i="3"/>
  <c r="N633" i="3"/>
  <c r="O633" i="3"/>
  <c r="P633" i="3"/>
  <c r="Q633" i="3"/>
  <c r="R633" i="3"/>
  <c r="N634" i="3"/>
  <c r="O634" i="3"/>
  <c r="P634" i="3"/>
  <c r="Q634" i="3"/>
  <c r="R634" i="3"/>
  <c r="N635" i="3"/>
  <c r="O635" i="3"/>
  <c r="P635" i="3"/>
  <c r="Q635" i="3"/>
  <c r="R635" i="3"/>
  <c r="N636" i="3"/>
  <c r="O636" i="3"/>
  <c r="P636" i="3"/>
  <c r="Q636" i="3"/>
  <c r="R636" i="3"/>
  <c r="N637" i="3"/>
  <c r="O637" i="3"/>
  <c r="P637" i="3"/>
  <c r="Q637" i="3"/>
  <c r="R637" i="3"/>
  <c r="N638" i="3"/>
  <c r="O638" i="3"/>
  <c r="P638" i="3"/>
  <c r="Q638" i="3"/>
  <c r="R638" i="3"/>
  <c r="N639" i="3"/>
  <c r="O639" i="3"/>
  <c r="P639" i="3"/>
  <c r="Q639" i="3"/>
  <c r="R639" i="3"/>
  <c r="N640" i="3"/>
  <c r="O640" i="3"/>
  <c r="P640" i="3"/>
  <c r="Q640" i="3"/>
  <c r="R640" i="3"/>
  <c r="N641" i="3"/>
  <c r="O641" i="3"/>
  <c r="P641" i="3"/>
  <c r="Q641" i="3"/>
  <c r="R641" i="3"/>
  <c r="N642" i="3"/>
  <c r="O642" i="3"/>
  <c r="P642" i="3"/>
  <c r="Q642" i="3"/>
  <c r="R642" i="3"/>
  <c r="N643" i="3"/>
  <c r="O643" i="3"/>
  <c r="P643" i="3"/>
  <c r="Q643" i="3"/>
  <c r="R643" i="3"/>
  <c r="N644" i="3"/>
  <c r="O644" i="3"/>
  <c r="P644" i="3"/>
  <c r="Q644" i="3"/>
  <c r="R644" i="3"/>
  <c r="N645" i="3"/>
  <c r="O645" i="3"/>
  <c r="P645" i="3"/>
  <c r="Q645" i="3"/>
  <c r="R645" i="3"/>
  <c r="N646" i="3"/>
  <c r="O646" i="3"/>
  <c r="P646" i="3"/>
  <c r="Q646" i="3"/>
  <c r="R646" i="3"/>
  <c r="N647" i="3"/>
  <c r="O647" i="3"/>
  <c r="P647" i="3"/>
  <c r="Q647" i="3"/>
  <c r="R647" i="3"/>
  <c r="N648" i="3"/>
  <c r="O648" i="3"/>
  <c r="P648" i="3"/>
  <c r="Q648" i="3"/>
  <c r="R648" i="3"/>
  <c r="N649" i="3"/>
  <c r="O649" i="3"/>
  <c r="P649" i="3"/>
  <c r="Q649" i="3"/>
  <c r="R649" i="3"/>
  <c r="N650" i="3"/>
  <c r="O650" i="3"/>
  <c r="P650" i="3"/>
  <c r="Q650" i="3"/>
  <c r="R650" i="3"/>
  <c r="N651" i="3"/>
  <c r="O651" i="3"/>
  <c r="P651" i="3"/>
  <c r="Q651" i="3"/>
  <c r="R651" i="3"/>
  <c r="N652" i="3"/>
  <c r="O652" i="3"/>
  <c r="P652" i="3"/>
  <c r="Q652" i="3"/>
  <c r="R652" i="3"/>
  <c r="N653" i="3"/>
  <c r="O653" i="3"/>
  <c r="P653" i="3"/>
  <c r="Q653" i="3"/>
  <c r="R653" i="3"/>
  <c r="N654" i="3"/>
  <c r="O654" i="3"/>
  <c r="P654" i="3"/>
  <c r="Q654" i="3"/>
  <c r="R654" i="3"/>
  <c r="N655" i="3"/>
  <c r="O655" i="3"/>
  <c r="P655" i="3"/>
  <c r="Q655" i="3"/>
  <c r="R655" i="3"/>
  <c r="N656" i="3"/>
  <c r="O656" i="3"/>
  <c r="P656" i="3"/>
  <c r="Q656" i="3"/>
  <c r="R656" i="3"/>
  <c r="N657" i="3"/>
  <c r="O657" i="3"/>
  <c r="P657" i="3"/>
  <c r="Q657" i="3"/>
  <c r="R657" i="3"/>
  <c r="N658" i="3"/>
  <c r="O658" i="3"/>
  <c r="P658" i="3"/>
  <c r="Q658" i="3"/>
  <c r="R658" i="3"/>
  <c r="N659" i="3"/>
  <c r="O659" i="3"/>
  <c r="P659" i="3"/>
  <c r="Q659" i="3"/>
  <c r="R659" i="3"/>
  <c r="N660" i="3"/>
  <c r="O660" i="3"/>
  <c r="P660" i="3"/>
  <c r="Q660" i="3"/>
  <c r="R660" i="3"/>
  <c r="N661" i="3"/>
  <c r="O661" i="3"/>
  <c r="P661" i="3"/>
  <c r="Q661" i="3"/>
  <c r="R661" i="3"/>
  <c r="N662" i="3"/>
  <c r="O662" i="3"/>
  <c r="P662" i="3"/>
  <c r="Q662" i="3"/>
  <c r="R662" i="3"/>
  <c r="N663" i="3"/>
  <c r="O663" i="3"/>
  <c r="P663" i="3"/>
  <c r="Q663" i="3"/>
  <c r="R663" i="3"/>
  <c r="N664" i="3"/>
  <c r="O664" i="3"/>
  <c r="P664" i="3"/>
  <c r="Q664" i="3"/>
  <c r="R664" i="3"/>
  <c r="N665" i="3"/>
  <c r="O665" i="3"/>
  <c r="P665" i="3"/>
  <c r="Q665" i="3"/>
  <c r="R665" i="3"/>
  <c r="N666" i="3"/>
  <c r="O666" i="3"/>
  <c r="P666" i="3"/>
  <c r="Q666" i="3"/>
  <c r="R666" i="3"/>
  <c r="N667" i="3"/>
  <c r="O667" i="3"/>
  <c r="P667" i="3"/>
  <c r="Q667" i="3"/>
  <c r="R667" i="3"/>
  <c r="N668" i="3"/>
  <c r="O668" i="3"/>
  <c r="P668" i="3"/>
  <c r="Q668" i="3"/>
  <c r="R668" i="3"/>
  <c r="N669" i="3"/>
  <c r="O669" i="3"/>
  <c r="P669" i="3"/>
  <c r="Q669" i="3"/>
  <c r="R669" i="3"/>
  <c r="N670" i="3"/>
  <c r="O670" i="3"/>
  <c r="P670" i="3"/>
  <c r="Q670" i="3"/>
  <c r="R670" i="3"/>
  <c r="N671" i="3"/>
  <c r="O671" i="3"/>
  <c r="P671" i="3"/>
  <c r="Q671" i="3"/>
  <c r="R671" i="3"/>
  <c r="N672" i="3"/>
  <c r="O672" i="3"/>
  <c r="P672" i="3"/>
  <c r="Q672" i="3"/>
  <c r="R672" i="3"/>
  <c r="N673" i="3"/>
  <c r="O673" i="3"/>
  <c r="P673" i="3"/>
  <c r="Q673" i="3"/>
  <c r="R673" i="3"/>
  <c r="N674" i="3"/>
  <c r="O674" i="3"/>
  <c r="P674" i="3"/>
  <c r="Q674" i="3"/>
  <c r="R674" i="3"/>
  <c r="N675" i="3"/>
  <c r="O675" i="3"/>
  <c r="P675" i="3"/>
  <c r="Q675" i="3"/>
  <c r="R675" i="3"/>
  <c r="N676" i="3"/>
  <c r="O676" i="3"/>
  <c r="P676" i="3"/>
  <c r="Q676" i="3"/>
  <c r="R676" i="3"/>
  <c r="N677" i="3"/>
  <c r="O677" i="3"/>
  <c r="P677" i="3"/>
  <c r="Q677" i="3"/>
  <c r="R677" i="3"/>
  <c r="N678" i="3"/>
  <c r="O678" i="3"/>
  <c r="P678" i="3"/>
  <c r="Q678" i="3"/>
  <c r="R678" i="3"/>
  <c r="N679" i="3"/>
  <c r="O679" i="3"/>
  <c r="P679" i="3"/>
  <c r="Q679" i="3"/>
  <c r="R679" i="3"/>
  <c r="N680" i="3"/>
  <c r="O680" i="3"/>
  <c r="P680" i="3"/>
  <c r="Q680" i="3"/>
  <c r="R680" i="3"/>
  <c r="N681" i="3"/>
  <c r="O681" i="3"/>
  <c r="P681" i="3"/>
  <c r="Q681" i="3"/>
  <c r="R681" i="3"/>
  <c r="N682" i="3"/>
  <c r="O682" i="3"/>
  <c r="P682" i="3"/>
  <c r="Q682" i="3"/>
  <c r="R682" i="3"/>
  <c r="N683" i="3"/>
  <c r="O683" i="3"/>
  <c r="P683" i="3"/>
  <c r="Q683" i="3"/>
  <c r="R683" i="3"/>
  <c r="N684" i="3"/>
  <c r="O684" i="3"/>
  <c r="P684" i="3"/>
  <c r="Q684" i="3"/>
  <c r="R684" i="3"/>
  <c r="N685" i="3"/>
  <c r="O685" i="3"/>
  <c r="P685" i="3"/>
  <c r="Q685" i="3"/>
  <c r="R685" i="3"/>
  <c r="N686" i="3"/>
  <c r="O686" i="3"/>
  <c r="P686" i="3"/>
  <c r="Q686" i="3"/>
  <c r="R686" i="3"/>
  <c r="N687" i="3"/>
  <c r="O687" i="3"/>
  <c r="P687" i="3"/>
  <c r="Q687" i="3"/>
  <c r="R687" i="3"/>
  <c r="N688" i="3"/>
  <c r="O688" i="3"/>
  <c r="P688" i="3"/>
  <c r="Q688" i="3"/>
  <c r="R688" i="3"/>
  <c r="N689" i="3"/>
  <c r="O689" i="3"/>
  <c r="P689" i="3"/>
  <c r="Q689" i="3"/>
  <c r="R689" i="3"/>
  <c r="N690" i="3"/>
  <c r="O690" i="3"/>
  <c r="P690" i="3"/>
  <c r="Q690" i="3"/>
  <c r="R690" i="3"/>
  <c r="N691" i="3"/>
  <c r="O691" i="3"/>
  <c r="P691" i="3"/>
  <c r="Q691" i="3"/>
  <c r="R691" i="3"/>
  <c r="N692" i="3"/>
  <c r="O692" i="3"/>
  <c r="P692" i="3"/>
  <c r="Q692" i="3"/>
  <c r="R692" i="3"/>
  <c r="N693" i="3"/>
  <c r="O693" i="3"/>
  <c r="P693" i="3"/>
  <c r="Q693" i="3"/>
  <c r="R693" i="3"/>
  <c r="N694" i="3"/>
  <c r="O694" i="3"/>
  <c r="P694" i="3"/>
  <c r="Q694" i="3"/>
  <c r="R694" i="3"/>
  <c r="N695" i="3"/>
  <c r="O695" i="3"/>
  <c r="P695" i="3"/>
  <c r="Q695" i="3"/>
  <c r="R695" i="3"/>
  <c r="N696" i="3"/>
  <c r="O696" i="3"/>
  <c r="P696" i="3"/>
  <c r="Q696" i="3"/>
  <c r="R696" i="3"/>
  <c r="N697" i="3"/>
  <c r="O697" i="3"/>
  <c r="P697" i="3"/>
  <c r="Q697" i="3"/>
  <c r="R697" i="3"/>
  <c r="N698" i="3"/>
  <c r="O698" i="3"/>
  <c r="P698" i="3"/>
  <c r="Q698" i="3"/>
  <c r="R698" i="3"/>
  <c r="N699" i="3"/>
  <c r="O699" i="3"/>
  <c r="P699" i="3"/>
  <c r="Q699" i="3"/>
  <c r="R699" i="3"/>
  <c r="N700" i="3"/>
  <c r="O700" i="3"/>
  <c r="P700" i="3"/>
  <c r="Q700" i="3"/>
  <c r="R700" i="3"/>
  <c r="N701" i="3"/>
  <c r="O701" i="3"/>
  <c r="P701" i="3"/>
  <c r="Q701" i="3"/>
  <c r="R701" i="3"/>
  <c r="N702" i="3"/>
  <c r="O702" i="3"/>
  <c r="P702" i="3"/>
  <c r="Q702" i="3"/>
  <c r="R702" i="3"/>
  <c r="N703" i="3"/>
  <c r="O703" i="3"/>
  <c r="P703" i="3"/>
  <c r="Q703" i="3"/>
  <c r="R703" i="3"/>
  <c r="N704" i="3"/>
  <c r="O704" i="3"/>
  <c r="P704" i="3"/>
  <c r="Q704" i="3"/>
  <c r="R704" i="3"/>
  <c r="N705" i="3"/>
  <c r="O705" i="3"/>
  <c r="P705" i="3"/>
  <c r="Q705" i="3"/>
  <c r="R705" i="3"/>
  <c r="N706" i="3"/>
  <c r="O706" i="3"/>
  <c r="P706" i="3"/>
  <c r="Q706" i="3"/>
  <c r="R706" i="3"/>
  <c r="N707" i="3"/>
  <c r="O707" i="3"/>
  <c r="P707" i="3"/>
  <c r="Q707" i="3"/>
  <c r="R707" i="3"/>
  <c r="N708" i="3"/>
  <c r="O708" i="3"/>
  <c r="P708" i="3"/>
  <c r="Q708" i="3"/>
  <c r="R708" i="3"/>
  <c r="N709" i="3"/>
  <c r="O709" i="3"/>
  <c r="P709" i="3"/>
  <c r="Q709" i="3"/>
  <c r="R709" i="3"/>
  <c r="N710" i="3"/>
  <c r="O710" i="3"/>
  <c r="P710" i="3"/>
  <c r="Q710" i="3"/>
  <c r="R710" i="3"/>
  <c r="N711" i="3"/>
  <c r="O711" i="3"/>
  <c r="P711" i="3"/>
  <c r="Q711" i="3"/>
  <c r="R711" i="3"/>
  <c r="N712" i="3"/>
  <c r="O712" i="3"/>
  <c r="P712" i="3"/>
  <c r="Q712" i="3"/>
  <c r="R712" i="3"/>
  <c r="N713" i="3"/>
  <c r="O713" i="3"/>
  <c r="P713" i="3"/>
  <c r="Q713" i="3"/>
  <c r="R713" i="3"/>
  <c r="N714" i="3"/>
  <c r="O714" i="3"/>
  <c r="P714" i="3"/>
  <c r="Q714" i="3"/>
  <c r="R714" i="3"/>
  <c r="N715" i="3"/>
  <c r="O715" i="3"/>
  <c r="P715" i="3"/>
  <c r="Q715" i="3"/>
  <c r="R715" i="3"/>
  <c r="N716" i="3"/>
  <c r="O716" i="3"/>
  <c r="P716" i="3"/>
  <c r="Q716" i="3"/>
  <c r="R716" i="3"/>
  <c r="N717" i="3"/>
  <c r="O717" i="3"/>
  <c r="P717" i="3"/>
  <c r="Q717" i="3"/>
  <c r="R717" i="3"/>
  <c r="N718" i="3"/>
  <c r="O718" i="3"/>
  <c r="P718" i="3"/>
  <c r="Q718" i="3"/>
  <c r="R718" i="3"/>
  <c r="N719" i="3"/>
  <c r="O719" i="3"/>
  <c r="P719" i="3"/>
  <c r="Q719" i="3"/>
  <c r="R719" i="3"/>
  <c r="N720" i="3"/>
  <c r="O720" i="3"/>
  <c r="P720" i="3"/>
  <c r="Q720" i="3"/>
  <c r="R720" i="3"/>
  <c r="N721" i="3"/>
  <c r="O721" i="3"/>
  <c r="P721" i="3"/>
  <c r="Q721" i="3"/>
  <c r="R721" i="3"/>
  <c r="N722" i="3"/>
  <c r="O722" i="3"/>
  <c r="P722" i="3"/>
  <c r="Q722" i="3"/>
  <c r="R722" i="3"/>
  <c r="N723" i="3"/>
  <c r="O723" i="3"/>
  <c r="P723" i="3"/>
  <c r="Q723" i="3"/>
  <c r="R723" i="3"/>
  <c r="N724" i="3"/>
  <c r="O724" i="3"/>
  <c r="P724" i="3"/>
  <c r="Q724" i="3"/>
  <c r="R724" i="3"/>
  <c r="N725" i="3"/>
  <c r="O725" i="3"/>
  <c r="P725" i="3"/>
  <c r="Q725" i="3"/>
  <c r="R725" i="3"/>
  <c r="N726" i="3"/>
  <c r="O726" i="3"/>
  <c r="P726" i="3"/>
  <c r="Q726" i="3"/>
  <c r="R726" i="3"/>
  <c r="N727" i="3"/>
  <c r="O727" i="3"/>
  <c r="P727" i="3"/>
  <c r="Q727" i="3"/>
  <c r="R727" i="3"/>
  <c r="N728" i="3"/>
  <c r="O728" i="3"/>
  <c r="P728" i="3"/>
  <c r="Q728" i="3"/>
  <c r="R728" i="3"/>
  <c r="N729" i="3"/>
  <c r="O729" i="3"/>
  <c r="P729" i="3"/>
  <c r="Q729" i="3"/>
  <c r="R729" i="3"/>
  <c r="N730" i="3"/>
  <c r="O730" i="3"/>
  <c r="P730" i="3"/>
  <c r="Q730" i="3"/>
  <c r="R730" i="3"/>
  <c r="N731" i="3"/>
  <c r="O731" i="3"/>
  <c r="P731" i="3"/>
  <c r="Q731" i="3"/>
  <c r="R731" i="3"/>
  <c r="N732" i="3"/>
  <c r="O732" i="3"/>
  <c r="P732" i="3"/>
  <c r="Q732" i="3"/>
  <c r="R732" i="3"/>
  <c r="N733" i="3"/>
  <c r="O733" i="3"/>
  <c r="P733" i="3"/>
  <c r="Q733" i="3"/>
  <c r="R733" i="3"/>
  <c r="N734" i="3"/>
  <c r="O734" i="3"/>
  <c r="P734" i="3"/>
  <c r="Q734" i="3"/>
  <c r="R734" i="3"/>
  <c r="N735" i="3"/>
  <c r="O735" i="3"/>
  <c r="P735" i="3"/>
  <c r="Q735" i="3"/>
  <c r="R735" i="3"/>
  <c r="N736" i="3"/>
  <c r="O736" i="3"/>
  <c r="P736" i="3"/>
  <c r="Q736" i="3"/>
  <c r="R736" i="3"/>
  <c r="N737" i="3"/>
  <c r="O737" i="3"/>
  <c r="P737" i="3"/>
  <c r="Q737" i="3"/>
  <c r="R737" i="3"/>
  <c r="N738" i="3"/>
  <c r="O738" i="3"/>
  <c r="P738" i="3"/>
  <c r="Q738" i="3"/>
  <c r="R738" i="3"/>
  <c r="N739" i="3"/>
  <c r="O739" i="3"/>
  <c r="P739" i="3"/>
  <c r="Q739" i="3"/>
  <c r="R739" i="3"/>
  <c r="N740" i="3"/>
  <c r="O740" i="3"/>
  <c r="P740" i="3"/>
  <c r="Q740" i="3"/>
  <c r="R740" i="3"/>
  <c r="N741" i="3"/>
  <c r="O741" i="3"/>
  <c r="P741" i="3"/>
  <c r="Q741" i="3"/>
  <c r="R741" i="3"/>
  <c r="N742" i="3"/>
  <c r="O742" i="3"/>
  <c r="P742" i="3"/>
  <c r="Q742" i="3"/>
  <c r="R742" i="3"/>
  <c r="N743" i="3"/>
  <c r="O743" i="3"/>
  <c r="P743" i="3"/>
  <c r="Q743" i="3"/>
  <c r="R743" i="3"/>
  <c r="N744" i="3"/>
  <c r="O744" i="3"/>
  <c r="P744" i="3"/>
  <c r="Q744" i="3"/>
  <c r="R744" i="3"/>
  <c r="N745" i="3"/>
  <c r="O745" i="3"/>
  <c r="P745" i="3"/>
  <c r="Q745" i="3"/>
  <c r="R745" i="3"/>
  <c r="N746" i="3"/>
  <c r="O746" i="3"/>
  <c r="P746" i="3"/>
  <c r="Q746" i="3"/>
  <c r="R746" i="3"/>
  <c r="N747" i="3"/>
  <c r="O747" i="3"/>
  <c r="P747" i="3"/>
  <c r="Q747" i="3"/>
  <c r="R747" i="3"/>
  <c r="N748" i="3"/>
  <c r="O748" i="3"/>
  <c r="P748" i="3"/>
  <c r="Q748" i="3"/>
  <c r="R748" i="3"/>
  <c r="N749" i="3"/>
  <c r="O749" i="3"/>
  <c r="P749" i="3"/>
  <c r="Q749" i="3"/>
  <c r="R749" i="3"/>
  <c r="N750" i="3"/>
  <c r="O750" i="3"/>
  <c r="P750" i="3"/>
  <c r="Q750" i="3"/>
  <c r="R750" i="3"/>
  <c r="N751" i="3"/>
  <c r="O751" i="3"/>
  <c r="P751" i="3"/>
  <c r="Q751" i="3"/>
  <c r="R751" i="3"/>
  <c r="N752" i="3"/>
  <c r="O752" i="3"/>
  <c r="P752" i="3"/>
  <c r="Q752" i="3"/>
  <c r="R752" i="3"/>
  <c r="N753" i="3"/>
  <c r="O753" i="3"/>
  <c r="P753" i="3"/>
  <c r="Q753" i="3"/>
  <c r="R753" i="3"/>
  <c r="N754" i="3"/>
  <c r="O754" i="3"/>
  <c r="P754" i="3"/>
  <c r="Q754" i="3"/>
  <c r="R754" i="3"/>
  <c r="N755" i="3"/>
  <c r="O755" i="3"/>
  <c r="P755" i="3"/>
  <c r="Q755" i="3"/>
  <c r="R755" i="3"/>
  <c r="N756" i="3"/>
  <c r="O756" i="3"/>
  <c r="P756" i="3"/>
  <c r="Q756" i="3"/>
  <c r="R756" i="3"/>
  <c r="N757" i="3"/>
  <c r="O757" i="3"/>
  <c r="P757" i="3"/>
  <c r="Q757" i="3"/>
  <c r="R757" i="3"/>
  <c r="N758" i="3"/>
  <c r="O758" i="3"/>
  <c r="P758" i="3"/>
  <c r="Q758" i="3"/>
  <c r="R758" i="3"/>
  <c r="N759" i="3"/>
  <c r="O759" i="3"/>
  <c r="P759" i="3"/>
  <c r="Q759" i="3"/>
  <c r="R759" i="3"/>
  <c r="N760" i="3"/>
  <c r="O760" i="3"/>
  <c r="P760" i="3"/>
  <c r="Q760" i="3"/>
  <c r="R760" i="3"/>
  <c r="N761" i="3"/>
  <c r="O761" i="3"/>
  <c r="P761" i="3"/>
  <c r="Q761" i="3"/>
  <c r="R761" i="3"/>
  <c r="N762" i="3"/>
  <c r="O762" i="3"/>
  <c r="P762" i="3"/>
  <c r="Q762" i="3"/>
  <c r="R762" i="3"/>
  <c r="N763" i="3"/>
  <c r="O763" i="3"/>
  <c r="P763" i="3"/>
  <c r="Q763" i="3"/>
  <c r="R763" i="3"/>
  <c r="N764" i="3"/>
  <c r="O764" i="3"/>
  <c r="P764" i="3"/>
  <c r="Q764" i="3"/>
  <c r="R764" i="3"/>
  <c r="N765" i="3"/>
  <c r="O765" i="3"/>
  <c r="P765" i="3"/>
  <c r="Q765" i="3"/>
  <c r="R765" i="3"/>
  <c r="N766" i="3"/>
  <c r="O766" i="3"/>
  <c r="P766" i="3"/>
  <c r="Q766" i="3"/>
  <c r="R766" i="3"/>
  <c r="N767" i="3"/>
  <c r="O767" i="3"/>
  <c r="P767" i="3"/>
  <c r="Q767" i="3"/>
  <c r="R767" i="3"/>
  <c r="N768" i="3"/>
  <c r="O768" i="3"/>
  <c r="P768" i="3"/>
  <c r="Q768" i="3"/>
  <c r="R768" i="3"/>
  <c r="N769" i="3"/>
  <c r="O769" i="3"/>
  <c r="P769" i="3"/>
  <c r="Q769" i="3"/>
  <c r="R769" i="3"/>
  <c r="N770" i="3"/>
  <c r="O770" i="3"/>
  <c r="P770" i="3"/>
  <c r="Q770" i="3"/>
  <c r="R770" i="3"/>
  <c r="N771" i="3"/>
  <c r="O771" i="3"/>
  <c r="P771" i="3"/>
  <c r="Q771" i="3"/>
  <c r="R771" i="3"/>
  <c r="N772" i="3"/>
  <c r="O772" i="3"/>
  <c r="P772" i="3"/>
  <c r="Q772" i="3"/>
  <c r="R772" i="3"/>
  <c r="N773" i="3"/>
  <c r="O773" i="3"/>
  <c r="P773" i="3"/>
  <c r="Q773" i="3"/>
  <c r="R773" i="3"/>
  <c r="N774" i="3"/>
  <c r="O774" i="3"/>
  <c r="P774" i="3"/>
  <c r="Q774" i="3"/>
  <c r="R774" i="3"/>
  <c r="N775" i="3"/>
  <c r="O775" i="3"/>
  <c r="P775" i="3"/>
  <c r="Q775" i="3"/>
  <c r="R775" i="3"/>
  <c r="N776" i="3"/>
  <c r="O776" i="3"/>
  <c r="P776" i="3"/>
  <c r="Q776" i="3"/>
  <c r="R776" i="3"/>
  <c r="N777" i="3"/>
  <c r="O777" i="3"/>
  <c r="P777" i="3"/>
  <c r="Q777" i="3"/>
  <c r="R777" i="3"/>
  <c r="N778" i="3"/>
  <c r="O778" i="3"/>
  <c r="P778" i="3"/>
  <c r="Q778" i="3"/>
  <c r="R778" i="3"/>
  <c r="N779" i="3"/>
  <c r="O779" i="3"/>
  <c r="P779" i="3"/>
  <c r="Q779" i="3"/>
  <c r="R779" i="3"/>
  <c r="N780" i="3"/>
  <c r="O780" i="3"/>
  <c r="P780" i="3"/>
  <c r="Q780" i="3"/>
  <c r="R780" i="3"/>
  <c r="N781" i="3"/>
  <c r="O781" i="3"/>
  <c r="P781" i="3"/>
  <c r="Q781" i="3"/>
  <c r="R781" i="3"/>
  <c r="N782" i="3"/>
  <c r="O782" i="3"/>
  <c r="P782" i="3"/>
  <c r="Q782" i="3"/>
  <c r="R782" i="3"/>
  <c r="N783" i="3"/>
  <c r="O783" i="3"/>
  <c r="P783" i="3"/>
  <c r="Q783" i="3"/>
  <c r="R783" i="3"/>
  <c r="N784" i="3"/>
  <c r="O784" i="3"/>
  <c r="P784" i="3"/>
  <c r="Q784" i="3"/>
  <c r="R784" i="3"/>
  <c r="N785" i="3"/>
  <c r="O785" i="3"/>
  <c r="P785" i="3"/>
  <c r="Q785" i="3"/>
  <c r="R785" i="3"/>
  <c r="N786" i="3"/>
  <c r="O786" i="3"/>
  <c r="P786" i="3"/>
  <c r="Q786" i="3"/>
  <c r="R786" i="3"/>
  <c r="N787" i="3"/>
  <c r="O787" i="3"/>
  <c r="P787" i="3"/>
  <c r="Q787" i="3"/>
  <c r="R787" i="3"/>
  <c r="N788" i="3"/>
  <c r="O788" i="3"/>
  <c r="P788" i="3"/>
  <c r="Q788" i="3"/>
  <c r="R788" i="3"/>
  <c r="N789" i="3"/>
  <c r="O789" i="3"/>
  <c r="P789" i="3"/>
  <c r="Q789" i="3"/>
  <c r="R789" i="3"/>
  <c r="N790" i="3"/>
  <c r="O790" i="3"/>
  <c r="P790" i="3"/>
  <c r="Q790" i="3"/>
  <c r="R790" i="3"/>
  <c r="N791" i="3"/>
  <c r="O791" i="3"/>
  <c r="P791" i="3"/>
  <c r="Q791" i="3"/>
  <c r="R791" i="3"/>
  <c r="N792" i="3"/>
  <c r="O792" i="3"/>
  <c r="P792" i="3"/>
  <c r="Q792" i="3"/>
  <c r="R792" i="3"/>
  <c r="N793" i="3"/>
  <c r="O793" i="3"/>
  <c r="P793" i="3"/>
  <c r="Q793" i="3"/>
  <c r="R793" i="3"/>
  <c r="N794" i="3"/>
  <c r="O794" i="3"/>
  <c r="P794" i="3"/>
  <c r="Q794" i="3"/>
  <c r="R794" i="3"/>
  <c r="N795" i="3"/>
  <c r="O795" i="3"/>
  <c r="P795" i="3"/>
  <c r="Q795" i="3"/>
  <c r="R795" i="3"/>
  <c r="N796" i="3"/>
  <c r="O796" i="3"/>
  <c r="P796" i="3"/>
  <c r="Q796" i="3"/>
  <c r="R796" i="3"/>
  <c r="N797" i="3"/>
  <c r="O797" i="3"/>
  <c r="P797" i="3"/>
  <c r="Q797" i="3"/>
  <c r="R797" i="3"/>
  <c r="N798" i="3"/>
  <c r="O798" i="3"/>
  <c r="P798" i="3"/>
  <c r="Q798" i="3"/>
  <c r="R798" i="3"/>
  <c r="N799" i="3"/>
  <c r="O799" i="3"/>
  <c r="P799" i="3"/>
  <c r="Q799" i="3"/>
  <c r="R799" i="3"/>
  <c r="N800" i="3"/>
  <c r="O800" i="3"/>
  <c r="P800" i="3"/>
  <c r="Q800" i="3"/>
  <c r="R800" i="3"/>
  <c r="N801" i="3"/>
  <c r="O801" i="3"/>
  <c r="P801" i="3"/>
  <c r="Q801" i="3"/>
  <c r="R801" i="3"/>
  <c r="N802" i="3"/>
  <c r="O802" i="3"/>
  <c r="P802" i="3"/>
  <c r="Q802" i="3"/>
  <c r="R802" i="3"/>
  <c r="N803" i="3"/>
  <c r="O803" i="3"/>
  <c r="P803" i="3"/>
  <c r="Q803" i="3"/>
  <c r="R803" i="3"/>
  <c r="N804" i="3"/>
  <c r="O804" i="3"/>
  <c r="P804" i="3"/>
  <c r="Q804" i="3"/>
  <c r="R804" i="3"/>
  <c r="N805" i="3"/>
  <c r="O805" i="3"/>
  <c r="P805" i="3"/>
  <c r="Q805" i="3"/>
  <c r="R805" i="3"/>
  <c r="N806" i="3"/>
  <c r="O806" i="3"/>
  <c r="P806" i="3"/>
  <c r="Q806" i="3"/>
  <c r="R806" i="3"/>
  <c r="N807" i="3"/>
  <c r="O807" i="3"/>
  <c r="P807" i="3"/>
  <c r="Q807" i="3"/>
  <c r="R807" i="3"/>
  <c r="N808" i="3"/>
  <c r="O808" i="3"/>
  <c r="P808" i="3"/>
  <c r="Q808" i="3"/>
  <c r="R808" i="3"/>
  <c r="N809" i="3"/>
  <c r="O809" i="3"/>
  <c r="P809" i="3"/>
  <c r="Q809" i="3"/>
  <c r="R809" i="3"/>
  <c r="N810" i="3"/>
  <c r="O810" i="3"/>
  <c r="P810" i="3"/>
  <c r="Q810" i="3"/>
  <c r="R810" i="3"/>
  <c r="N811" i="3"/>
  <c r="O811" i="3"/>
  <c r="P811" i="3"/>
  <c r="Q811" i="3"/>
  <c r="R811" i="3"/>
  <c r="N812" i="3"/>
  <c r="O812" i="3"/>
  <c r="P812" i="3"/>
  <c r="Q812" i="3"/>
  <c r="R812" i="3"/>
  <c r="N813" i="3"/>
  <c r="O813" i="3"/>
  <c r="P813" i="3"/>
  <c r="Q813" i="3"/>
  <c r="R813" i="3"/>
  <c r="N814" i="3"/>
  <c r="O814" i="3"/>
  <c r="P814" i="3"/>
  <c r="Q814" i="3"/>
  <c r="R814" i="3"/>
  <c r="N815" i="3"/>
  <c r="O815" i="3"/>
  <c r="P815" i="3"/>
  <c r="Q815" i="3"/>
  <c r="R815" i="3"/>
  <c r="N816" i="3"/>
  <c r="O816" i="3"/>
  <c r="P816" i="3"/>
  <c r="Q816" i="3"/>
  <c r="R816" i="3"/>
  <c r="N817" i="3"/>
  <c r="O817" i="3"/>
  <c r="P817" i="3"/>
  <c r="Q817" i="3"/>
  <c r="R817" i="3"/>
  <c r="N818" i="3"/>
  <c r="O818" i="3"/>
  <c r="P818" i="3"/>
  <c r="Q818" i="3"/>
  <c r="R818" i="3"/>
  <c r="N819" i="3"/>
  <c r="O819" i="3"/>
  <c r="P819" i="3"/>
  <c r="Q819" i="3"/>
  <c r="R819" i="3"/>
  <c r="N820" i="3"/>
  <c r="O820" i="3"/>
  <c r="P820" i="3"/>
  <c r="Q820" i="3"/>
  <c r="R820" i="3"/>
  <c r="N821" i="3"/>
  <c r="O821" i="3"/>
  <c r="P821" i="3"/>
  <c r="Q821" i="3"/>
  <c r="R821" i="3"/>
  <c r="N822" i="3"/>
  <c r="O822" i="3"/>
  <c r="P822" i="3"/>
  <c r="Q822" i="3"/>
  <c r="R822" i="3"/>
  <c r="N823" i="3"/>
  <c r="O823" i="3"/>
  <c r="P823" i="3"/>
  <c r="Q823" i="3"/>
  <c r="R823" i="3"/>
  <c r="N824" i="3"/>
  <c r="O824" i="3"/>
  <c r="P824" i="3"/>
  <c r="Q824" i="3"/>
  <c r="R824" i="3"/>
  <c r="N825" i="3"/>
  <c r="O825" i="3"/>
  <c r="P825" i="3"/>
  <c r="Q825" i="3"/>
  <c r="R825" i="3"/>
  <c r="N826" i="3"/>
  <c r="O826" i="3"/>
  <c r="P826" i="3"/>
  <c r="Q826" i="3"/>
  <c r="R826" i="3"/>
  <c r="N827" i="3"/>
  <c r="O827" i="3"/>
  <c r="P827" i="3"/>
  <c r="Q827" i="3"/>
  <c r="R827" i="3"/>
  <c r="N828" i="3"/>
  <c r="O828" i="3"/>
  <c r="P828" i="3"/>
  <c r="Q828" i="3"/>
  <c r="R828" i="3"/>
  <c r="N829" i="3"/>
  <c r="O829" i="3"/>
  <c r="P829" i="3"/>
  <c r="Q829" i="3"/>
  <c r="R829" i="3"/>
  <c r="N830" i="3"/>
  <c r="O830" i="3"/>
  <c r="P830" i="3"/>
  <c r="Q830" i="3"/>
  <c r="R830" i="3"/>
  <c r="N831" i="3"/>
  <c r="O831" i="3"/>
  <c r="P831" i="3"/>
  <c r="Q831" i="3"/>
  <c r="R831" i="3"/>
  <c r="N832" i="3"/>
  <c r="O832" i="3"/>
  <c r="P832" i="3"/>
  <c r="Q832" i="3"/>
  <c r="R832" i="3"/>
  <c r="N833" i="3"/>
  <c r="O833" i="3"/>
  <c r="P833" i="3"/>
  <c r="Q833" i="3"/>
  <c r="R833" i="3"/>
  <c r="N834" i="3"/>
  <c r="O834" i="3"/>
  <c r="P834" i="3"/>
  <c r="Q834" i="3"/>
  <c r="R834" i="3"/>
  <c r="N835" i="3"/>
  <c r="O835" i="3"/>
  <c r="P835" i="3"/>
  <c r="Q835" i="3"/>
  <c r="R835" i="3"/>
  <c r="N836" i="3"/>
  <c r="O836" i="3"/>
  <c r="P836" i="3"/>
  <c r="Q836" i="3"/>
  <c r="R836" i="3"/>
  <c r="N837" i="3"/>
  <c r="O837" i="3"/>
  <c r="P837" i="3"/>
  <c r="Q837" i="3"/>
  <c r="R837" i="3"/>
  <c r="N838" i="3"/>
  <c r="O838" i="3"/>
  <c r="P838" i="3"/>
  <c r="Q838" i="3"/>
  <c r="R838" i="3"/>
  <c r="N839" i="3"/>
  <c r="O839" i="3"/>
  <c r="P839" i="3"/>
  <c r="Q839" i="3"/>
  <c r="R839" i="3"/>
  <c r="N840" i="3"/>
  <c r="O840" i="3"/>
  <c r="P840" i="3"/>
  <c r="Q840" i="3"/>
  <c r="R840" i="3"/>
  <c r="N841" i="3"/>
  <c r="O841" i="3"/>
  <c r="P841" i="3"/>
  <c r="Q841" i="3"/>
  <c r="R841" i="3"/>
  <c r="N842" i="3"/>
  <c r="O842" i="3"/>
  <c r="P842" i="3"/>
  <c r="Q842" i="3"/>
  <c r="R842" i="3"/>
  <c r="N843" i="3"/>
  <c r="O843" i="3"/>
  <c r="P843" i="3"/>
  <c r="Q843" i="3"/>
  <c r="R843" i="3"/>
  <c r="N844" i="3"/>
  <c r="O844" i="3"/>
  <c r="P844" i="3"/>
  <c r="Q844" i="3"/>
  <c r="R844" i="3"/>
  <c r="N845" i="3"/>
  <c r="O845" i="3"/>
  <c r="P845" i="3"/>
  <c r="Q845" i="3"/>
  <c r="R845" i="3"/>
  <c r="N846" i="3"/>
  <c r="O846" i="3"/>
  <c r="P846" i="3"/>
  <c r="Q846" i="3"/>
  <c r="R846" i="3"/>
  <c r="N847" i="3"/>
  <c r="O847" i="3"/>
  <c r="P847" i="3"/>
  <c r="Q847" i="3"/>
  <c r="R847" i="3"/>
  <c r="N848" i="3"/>
  <c r="O848" i="3"/>
  <c r="P848" i="3"/>
  <c r="Q848" i="3"/>
  <c r="R848" i="3"/>
  <c r="N849" i="3"/>
  <c r="O849" i="3"/>
  <c r="P849" i="3"/>
  <c r="Q849" i="3"/>
  <c r="R849" i="3"/>
  <c r="N850" i="3"/>
  <c r="O850" i="3"/>
  <c r="P850" i="3"/>
  <c r="Q850" i="3"/>
  <c r="R850" i="3"/>
  <c r="N851" i="3"/>
  <c r="O851" i="3"/>
  <c r="P851" i="3"/>
  <c r="Q851" i="3"/>
  <c r="R851" i="3"/>
  <c r="N852" i="3"/>
  <c r="O852" i="3"/>
  <c r="P852" i="3"/>
  <c r="Q852" i="3"/>
  <c r="R852" i="3"/>
  <c r="N853" i="3"/>
  <c r="O853" i="3"/>
  <c r="P853" i="3"/>
  <c r="Q853" i="3"/>
  <c r="R853" i="3"/>
  <c r="N854" i="3"/>
  <c r="O854" i="3"/>
  <c r="P854" i="3"/>
  <c r="Q854" i="3"/>
  <c r="R854" i="3"/>
  <c r="N855" i="3"/>
  <c r="O855" i="3"/>
  <c r="P855" i="3"/>
  <c r="Q855" i="3"/>
  <c r="R855" i="3"/>
  <c r="N856" i="3"/>
  <c r="O856" i="3"/>
  <c r="P856" i="3"/>
  <c r="Q856" i="3"/>
  <c r="R856" i="3"/>
  <c r="N857" i="3"/>
  <c r="O857" i="3"/>
  <c r="P857" i="3"/>
  <c r="Q857" i="3"/>
  <c r="R857" i="3"/>
  <c r="N858" i="3"/>
  <c r="O858" i="3"/>
  <c r="P858" i="3"/>
  <c r="Q858" i="3"/>
  <c r="R858" i="3"/>
  <c r="N859" i="3"/>
  <c r="O859" i="3"/>
  <c r="P859" i="3"/>
  <c r="Q859" i="3"/>
  <c r="R859" i="3"/>
  <c r="N860" i="3"/>
  <c r="O860" i="3"/>
  <c r="P860" i="3"/>
  <c r="Q860" i="3"/>
  <c r="R860" i="3"/>
  <c r="N861" i="3"/>
  <c r="O861" i="3"/>
  <c r="P861" i="3"/>
  <c r="Q861" i="3"/>
  <c r="R861" i="3"/>
  <c r="N862" i="3"/>
  <c r="O862" i="3"/>
  <c r="P862" i="3"/>
  <c r="Q862" i="3"/>
  <c r="R862" i="3"/>
  <c r="N863" i="3"/>
  <c r="O863" i="3"/>
  <c r="P863" i="3"/>
  <c r="Q863" i="3"/>
  <c r="R863" i="3"/>
  <c r="N864" i="3"/>
  <c r="O864" i="3"/>
  <c r="P864" i="3"/>
  <c r="Q864" i="3"/>
  <c r="R864" i="3"/>
  <c r="N865" i="3"/>
  <c r="O865" i="3"/>
  <c r="P865" i="3"/>
  <c r="Q865" i="3"/>
  <c r="R865" i="3"/>
  <c r="N866" i="3"/>
  <c r="O866" i="3"/>
  <c r="P866" i="3"/>
  <c r="Q866" i="3"/>
  <c r="R866" i="3"/>
  <c r="N867" i="3"/>
  <c r="O867" i="3"/>
  <c r="P867" i="3"/>
  <c r="Q867" i="3"/>
  <c r="R867" i="3"/>
  <c r="N868" i="3"/>
  <c r="O868" i="3"/>
  <c r="P868" i="3"/>
  <c r="Q868" i="3"/>
  <c r="R868" i="3"/>
  <c r="N869" i="3"/>
  <c r="O869" i="3"/>
  <c r="P869" i="3"/>
  <c r="Q869" i="3"/>
  <c r="R869" i="3"/>
  <c r="N870" i="3"/>
  <c r="O870" i="3"/>
  <c r="P870" i="3"/>
  <c r="Q870" i="3"/>
  <c r="R870" i="3"/>
  <c r="N871" i="3"/>
  <c r="O871" i="3"/>
  <c r="P871" i="3"/>
  <c r="Q871" i="3"/>
  <c r="R871" i="3"/>
  <c r="N872" i="3"/>
  <c r="O872" i="3"/>
  <c r="P872" i="3"/>
  <c r="Q872" i="3"/>
  <c r="R872" i="3"/>
  <c r="N873" i="3"/>
  <c r="O873" i="3"/>
  <c r="P873" i="3"/>
  <c r="Q873" i="3"/>
  <c r="R873" i="3"/>
  <c r="N874" i="3"/>
  <c r="O874" i="3"/>
  <c r="P874" i="3"/>
  <c r="Q874" i="3"/>
  <c r="R874" i="3"/>
  <c r="N875" i="3"/>
  <c r="O875" i="3"/>
  <c r="P875" i="3"/>
  <c r="Q875" i="3"/>
  <c r="R875" i="3"/>
  <c r="N876" i="3"/>
  <c r="O876" i="3"/>
  <c r="P876" i="3"/>
  <c r="Q876" i="3"/>
  <c r="R876" i="3"/>
  <c r="N877" i="3"/>
  <c r="O877" i="3"/>
  <c r="P877" i="3"/>
  <c r="Q877" i="3"/>
  <c r="R877" i="3"/>
  <c r="N878" i="3"/>
  <c r="O878" i="3"/>
  <c r="P878" i="3"/>
  <c r="Q878" i="3"/>
  <c r="R878" i="3"/>
  <c r="N879" i="3"/>
  <c r="O879" i="3"/>
  <c r="P879" i="3"/>
  <c r="Q879" i="3"/>
  <c r="R879" i="3"/>
  <c r="N880" i="3"/>
  <c r="O880" i="3"/>
  <c r="P880" i="3"/>
  <c r="Q880" i="3"/>
  <c r="R880" i="3"/>
  <c r="N881" i="3"/>
  <c r="O881" i="3"/>
  <c r="P881" i="3"/>
  <c r="Q881" i="3"/>
  <c r="R881" i="3"/>
  <c r="N882" i="3"/>
  <c r="O882" i="3"/>
  <c r="P882" i="3"/>
  <c r="Q882" i="3"/>
  <c r="R882" i="3"/>
  <c r="N883" i="3"/>
  <c r="O883" i="3"/>
  <c r="P883" i="3"/>
  <c r="Q883" i="3"/>
  <c r="R883" i="3"/>
  <c r="N884" i="3"/>
  <c r="O884" i="3"/>
  <c r="P884" i="3"/>
  <c r="Q884" i="3"/>
  <c r="R884" i="3"/>
  <c r="N885" i="3"/>
  <c r="O885" i="3"/>
  <c r="P885" i="3"/>
  <c r="Q885" i="3"/>
  <c r="R885" i="3"/>
  <c r="N886" i="3"/>
  <c r="O886" i="3"/>
  <c r="P886" i="3"/>
  <c r="Q886" i="3"/>
  <c r="R886" i="3"/>
  <c r="N887" i="3"/>
  <c r="O887" i="3"/>
  <c r="P887" i="3"/>
  <c r="Q887" i="3"/>
  <c r="R887" i="3"/>
  <c r="N888" i="3"/>
  <c r="O888" i="3"/>
  <c r="P888" i="3"/>
  <c r="Q888" i="3"/>
  <c r="R888" i="3"/>
  <c r="N889" i="3"/>
  <c r="O889" i="3"/>
  <c r="P889" i="3"/>
  <c r="Q889" i="3"/>
  <c r="R889" i="3"/>
  <c r="N890" i="3"/>
  <c r="O890" i="3"/>
  <c r="P890" i="3"/>
  <c r="Q890" i="3"/>
  <c r="R890" i="3"/>
  <c r="N891" i="3"/>
  <c r="O891" i="3"/>
  <c r="P891" i="3"/>
  <c r="Q891" i="3"/>
  <c r="R891" i="3"/>
  <c r="N892" i="3"/>
  <c r="O892" i="3"/>
  <c r="P892" i="3"/>
  <c r="Q892" i="3"/>
  <c r="R892" i="3"/>
  <c r="N893" i="3"/>
  <c r="O893" i="3"/>
  <c r="P893" i="3"/>
  <c r="Q893" i="3"/>
  <c r="R893" i="3"/>
  <c r="N894" i="3"/>
  <c r="O894" i="3"/>
  <c r="P894" i="3"/>
  <c r="Q894" i="3"/>
  <c r="R894" i="3"/>
  <c r="N895" i="3"/>
  <c r="O895" i="3"/>
  <c r="P895" i="3"/>
  <c r="Q895" i="3"/>
  <c r="R895" i="3"/>
  <c r="N896" i="3"/>
  <c r="O896" i="3"/>
  <c r="P896" i="3"/>
  <c r="Q896" i="3"/>
  <c r="R896" i="3"/>
  <c r="N897" i="3"/>
  <c r="O897" i="3"/>
  <c r="P897" i="3"/>
  <c r="Q897" i="3"/>
  <c r="R897" i="3"/>
  <c r="N898" i="3"/>
  <c r="O898" i="3"/>
  <c r="P898" i="3"/>
  <c r="Q898" i="3"/>
  <c r="R898" i="3"/>
  <c r="N899" i="3"/>
  <c r="O899" i="3"/>
  <c r="P899" i="3"/>
  <c r="Q899" i="3"/>
  <c r="R899" i="3"/>
  <c r="N900" i="3"/>
  <c r="O900" i="3"/>
  <c r="P900" i="3"/>
  <c r="Q900" i="3"/>
  <c r="R900" i="3"/>
  <c r="N901" i="3"/>
  <c r="O901" i="3"/>
  <c r="P901" i="3"/>
  <c r="Q901" i="3"/>
  <c r="R901" i="3"/>
  <c r="N902" i="3"/>
  <c r="O902" i="3"/>
  <c r="P902" i="3"/>
  <c r="Q902" i="3"/>
  <c r="R902" i="3"/>
  <c r="N903" i="3"/>
  <c r="O903" i="3"/>
  <c r="P903" i="3"/>
  <c r="Q903" i="3"/>
  <c r="R903" i="3"/>
  <c r="N904" i="3"/>
  <c r="O904" i="3"/>
  <c r="P904" i="3"/>
  <c r="Q904" i="3"/>
  <c r="R904" i="3"/>
  <c r="N905" i="3"/>
  <c r="O905" i="3"/>
  <c r="P905" i="3"/>
  <c r="Q905" i="3"/>
  <c r="R905" i="3"/>
  <c r="N906" i="3"/>
  <c r="O906" i="3"/>
  <c r="P906" i="3"/>
  <c r="Q906" i="3"/>
  <c r="R906" i="3"/>
  <c r="N907" i="3"/>
  <c r="O907" i="3"/>
  <c r="P907" i="3"/>
  <c r="Q907" i="3"/>
  <c r="R907" i="3"/>
  <c r="N908" i="3"/>
  <c r="O908" i="3"/>
  <c r="P908" i="3"/>
  <c r="Q908" i="3"/>
  <c r="R908" i="3"/>
  <c r="N909" i="3"/>
  <c r="O909" i="3"/>
  <c r="P909" i="3"/>
  <c r="Q909" i="3"/>
  <c r="R909" i="3"/>
  <c r="N910" i="3"/>
  <c r="O910" i="3"/>
  <c r="P910" i="3"/>
  <c r="Q910" i="3"/>
  <c r="R910" i="3"/>
  <c r="N911" i="3"/>
  <c r="O911" i="3"/>
  <c r="P911" i="3"/>
  <c r="Q911" i="3"/>
  <c r="R911" i="3"/>
  <c r="N912" i="3"/>
  <c r="O912" i="3"/>
  <c r="P912" i="3"/>
  <c r="Q912" i="3"/>
  <c r="R912" i="3"/>
  <c r="N913" i="3"/>
  <c r="O913" i="3"/>
  <c r="P913" i="3"/>
  <c r="Q913" i="3"/>
  <c r="R913" i="3"/>
  <c r="N914" i="3"/>
  <c r="O914" i="3"/>
  <c r="P914" i="3"/>
  <c r="Q914" i="3"/>
  <c r="R914" i="3"/>
  <c r="N915" i="3"/>
  <c r="O915" i="3"/>
  <c r="P915" i="3"/>
  <c r="Q915" i="3"/>
  <c r="R915" i="3"/>
  <c r="N916" i="3"/>
  <c r="O916" i="3"/>
  <c r="P916" i="3"/>
  <c r="Q916" i="3"/>
  <c r="R916" i="3"/>
  <c r="N917" i="3"/>
  <c r="O917" i="3"/>
  <c r="P917" i="3"/>
  <c r="Q917" i="3"/>
  <c r="R917" i="3"/>
  <c r="N918" i="3"/>
  <c r="O918" i="3"/>
  <c r="P918" i="3"/>
  <c r="Q918" i="3"/>
  <c r="R918" i="3"/>
  <c r="N919" i="3"/>
  <c r="O919" i="3"/>
  <c r="P919" i="3"/>
  <c r="Q919" i="3"/>
  <c r="R919" i="3"/>
  <c r="N920" i="3"/>
  <c r="O920" i="3"/>
  <c r="P920" i="3"/>
  <c r="Q920" i="3"/>
  <c r="R920" i="3"/>
  <c r="N921" i="3"/>
  <c r="O921" i="3"/>
  <c r="P921" i="3"/>
  <c r="Q921" i="3"/>
  <c r="R921" i="3"/>
  <c r="N922" i="3"/>
  <c r="O922" i="3"/>
  <c r="P922" i="3"/>
  <c r="Q922" i="3"/>
  <c r="R922" i="3"/>
  <c r="N923" i="3"/>
  <c r="O923" i="3"/>
  <c r="P923" i="3"/>
  <c r="Q923" i="3"/>
  <c r="R923" i="3"/>
  <c r="N924" i="3"/>
  <c r="O924" i="3"/>
  <c r="P924" i="3"/>
  <c r="Q924" i="3"/>
  <c r="R924" i="3"/>
  <c r="N925" i="3"/>
  <c r="O925" i="3"/>
  <c r="P925" i="3"/>
  <c r="Q925" i="3"/>
  <c r="R925" i="3"/>
  <c r="N926" i="3"/>
  <c r="O926" i="3"/>
  <c r="P926" i="3"/>
  <c r="Q926" i="3"/>
  <c r="R926" i="3"/>
  <c r="N927" i="3"/>
  <c r="O927" i="3"/>
  <c r="P927" i="3"/>
  <c r="Q927" i="3"/>
  <c r="R927" i="3"/>
  <c r="N928" i="3"/>
  <c r="O928" i="3"/>
  <c r="P928" i="3"/>
  <c r="Q928" i="3"/>
  <c r="R928" i="3"/>
  <c r="N929" i="3"/>
  <c r="O929" i="3"/>
  <c r="P929" i="3"/>
  <c r="Q929" i="3"/>
  <c r="R929" i="3"/>
  <c r="N930" i="3"/>
  <c r="O930" i="3"/>
  <c r="P930" i="3"/>
  <c r="Q930" i="3"/>
  <c r="R930" i="3"/>
  <c r="N931" i="3"/>
  <c r="O931" i="3"/>
  <c r="P931" i="3"/>
  <c r="Q931" i="3"/>
  <c r="R931" i="3"/>
  <c r="N932" i="3"/>
  <c r="O932" i="3"/>
  <c r="P932" i="3"/>
  <c r="Q932" i="3"/>
  <c r="R932" i="3"/>
  <c r="N933" i="3"/>
  <c r="O933" i="3"/>
  <c r="P933" i="3"/>
  <c r="Q933" i="3"/>
  <c r="R933" i="3"/>
  <c r="N934" i="3"/>
  <c r="O934" i="3"/>
  <c r="P934" i="3"/>
  <c r="Q934" i="3"/>
  <c r="R934" i="3"/>
  <c r="N935" i="3"/>
  <c r="O935" i="3"/>
  <c r="P935" i="3"/>
  <c r="Q935" i="3"/>
  <c r="R935" i="3"/>
  <c r="N936" i="3"/>
  <c r="O936" i="3"/>
  <c r="P936" i="3"/>
  <c r="Q936" i="3"/>
  <c r="R936" i="3"/>
  <c r="N937" i="3"/>
  <c r="O937" i="3"/>
  <c r="P937" i="3"/>
  <c r="Q937" i="3"/>
  <c r="R937" i="3"/>
  <c r="N938" i="3"/>
  <c r="O938" i="3"/>
  <c r="P938" i="3"/>
  <c r="Q938" i="3"/>
  <c r="R938" i="3"/>
  <c r="N939" i="3"/>
  <c r="O939" i="3"/>
  <c r="P939" i="3"/>
  <c r="Q939" i="3"/>
  <c r="R939" i="3"/>
  <c r="N940" i="3"/>
  <c r="O940" i="3"/>
  <c r="P940" i="3"/>
  <c r="Q940" i="3"/>
  <c r="R940" i="3"/>
  <c r="N941" i="3"/>
  <c r="O941" i="3"/>
  <c r="P941" i="3"/>
  <c r="Q941" i="3"/>
  <c r="R941" i="3"/>
  <c r="N942" i="3"/>
  <c r="O942" i="3"/>
  <c r="P942" i="3"/>
  <c r="Q942" i="3"/>
  <c r="R942" i="3"/>
  <c r="N943" i="3"/>
  <c r="O943" i="3"/>
  <c r="P943" i="3"/>
  <c r="Q943" i="3"/>
  <c r="R943" i="3"/>
  <c r="N944" i="3"/>
  <c r="O944" i="3"/>
  <c r="P944" i="3"/>
  <c r="Q944" i="3"/>
  <c r="R944" i="3"/>
  <c r="N945" i="3"/>
  <c r="O945" i="3"/>
  <c r="P945" i="3"/>
  <c r="Q945" i="3"/>
  <c r="R945" i="3"/>
  <c r="N946" i="3"/>
  <c r="O946" i="3"/>
  <c r="P946" i="3"/>
  <c r="Q946" i="3"/>
  <c r="R946" i="3"/>
  <c r="N947" i="3"/>
  <c r="O947" i="3"/>
  <c r="P947" i="3"/>
  <c r="Q947" i="3"/>
  <c r="R947" i="3"/>
  <c r="N948" i="3"/>
  <c r="O948" i="3"/>
  <c r="P948" i="3"/>
  <c r="Q948" i="3"/>
  <c r="R948" i="3"/>
  <c r="N949" i="3"/>
  <c r="O949" i="3"/>
  <c r="P949" i="3"/>
  <c r="Q949" i="3"/>
  <c r="R949" i="3"/>
  <c r="N950" i="3"/>
  <c r="O950" i="3"/>
  <c r="P950" i="3"/>
  <c r="Q950" i="3"/>
  <c r="R950" i="3"/>
  <c r="N951" i="3"/>
  <c r="O951" i="3"/>
  <c r="P951" i="3"/>
  <c r="Q951" i="3"/>
  <c r="R951" i="3"/>
  <c r="N952" i="3"/>
  <c r="O952" i="3"/>
  <c r="P952" i="3"/>
  <c r="Q952" i="3"/>
  <c r="R952" i="3"/>
  <c r="N953" i="3"/>
  <c r="O953" i="3"/>
  <c r="P953" i="3"/>
  <c r="Q953" i="3"/>
  <c r="R953" i="3"/>
  <c r="N954" i="3"/>
  <c r="O954" i="3"/>
  <c r="P954" i="3"/>
  <c r="Q954" i="3"/>
  <c r="R954" i="3"/>
  <c r="N955" i="3"/>
  <c r="O955" i="3"/>
  <c r="P955" i="3"/>
  <c r="Q955" i="3"/>
  <c r="R955" i="3"/>
  <c r="N956" i="3"/>
  <c r="O956" i="3"/>
  <c r="P956" i="3"/>
  <c r="Q956" i="3"/>
  <c r="R956" i="3"/>
  <c r="N957" i="3"/>
  <c r="O957" i="3"/>
  <c r="P957" i="3"/>
  <c r="Q957" i="3"/>
  <c r="R957" i="3"/>
  <c r="N958" i="3"/>
  <c r="O958" i="3"/>
  <c r="P958" i="3"/>
  <c r="Q958" i="3"/>
  <c r="R958" i="3"/>
  <c r="N959" i="3"/>
  <c r="O959" i="3"/>
  <c r="P959" i="3"/>
  <c r="Q959" i="3"/>
  <c r="R959" i="3"/>
  <c r="N960" i="3"/>
  <c r="O960" i="3"/>
  <c r="P960" i="3"/>
  <c r="Q960" i="3"/>
  <c r="R960" i="3"/>
  <c r="N961" i="3"/>
  <c r="O961" i="3"/>
  <c r="P961" i="3"/>
  <c r="Q961" i="3"/>
  <c r="R961" i="3"/>
  <c r="N962" i="3"/>
  <c r="O962" i="3"/>
  <c r="P962" i="3"/>
  <c r="Q962" i="3"/>
  <c r="R962" i="3"/>
  <c r="N963" i="3"/>
  <c r="O963" i="3"/>
  <c r="P963" i="3"/>
  <c r="Q963" i="3"/>
  <c r="R963" i="3"/>
  <c r="N964" i="3"/>
  <c r="O964" i="3"/>
  <c r="P964" i="3"/>
  <c r="Q964" i="3"/>
  <c r="R964" i="3"/>
  <c r="N965" i="3"/>
  <c r="O965" i="3"/>
  <c r="P965" i="3"/>
  <c r="Q965" i="3"/>
  <c r="R965" i="3"/>
  <c r="N966" i="3"/>
  <c r="O966" i="3"/>
  <c r="P966" i="3"/>
  <c r="Q966" i="3"/>
  <c r="R966" i="3"/>
  <c r="N967" i="3"/>
  <c r="O967" i="3"/>
  <c r="P967" i="3"/>
  <c r="Q967" i="3"/>
  <c r="R967" i="3"/>
  <c r="N968" i="3"/>
  <c r="O968" i="3"/>
  <c r="P968" i="3"/>
  <c r="Q968" i="3"/>
  <c r="R968" i="3"/>
  <c r="N969" i="3"/>
  <c r="O969" i="3"/>
  <c r="P969" i="3"/>
  <c r="Q969" i="3"/>
  <c r="R969" i="3"/>
  <c r="N970" i="3"/>
  <c r="O970" i="3"/>
  <c r="P970" i="3"/>
  <c r="Q970" i="3"/>
  <c r="R970" i="3"/>
  <c r="N971" i="3"/>
  <c r="O971" i="3"/>
  <c r="P971" i="3"/>
  <c r="Q971" i="3"/>
  <c r="R971" i="3"/>
  <c r="N972" i="3"/>
  <c r="O972" i="3"/>
  <c r="P972" i="3"/>
  <c r="Q972" i="3"/>
  <c r="R972" i="3"/>
  <c r="N973" i="3"/>
  <c r="O973" i="3"/>
  <c r="P973" i="3"/>
  <c r="Q973" i="3"/>
  <c r="R973" i="3"/>
  <c r="N974" i="3"/>
  <c r="O974" i="3"/>
  <c r="P974" i="3"/>
  <c r="Q974" i="3"/>
  <c r="R974" i="3"/>
  <c r="N975" i="3"/>
  <c r="O975" i="3"/>
  <c r="P975" i="3"/>
  <c r="Q975" i="3"/>
  <c r="R975" i="3"/>
  <c r="N976" i="3"/>
  <c r="O976" i="3"/>
  <c r="P976" i="3"/>
  <c r="Q976" i="3"/>
  <c r="R976" i="3"/>
  <c r="N977" i="3"/>
  <c r="O977" i="3"/>
  <c r="P977" i="3"/>
  <c r="Q977" i="3"/>
  <c r="R977" i="3"/>
  <c r="N978" i="3"/>
  <c r="O978" i="3"/>
  <c r="P978" i="3"/>
  <c r="Q978" i="3"/>
  <c r="R978" i="3"/>
  <c r="N979" i="3"/>
  <c r="O979" i="3"/>
  <c r="P979" i="3"/>
  <c r="Q979" i="3"/>
  <c r="R979" i="3"/>
  <c r="N980" i="3"/>
  <c r="O980" i="3"/>
  <c r="P980" i="3"/>
  <c r="Q980" i="3"/>
  <c r="R980" i="3"/>
  <c r="N981" i="3"/>
  <c r="O981" i="3"/>
  <c r="P981" i="3"/>
  <c r="Q981" i="3"/>
  <c r="R981" i="3"/>
  <c r="N982" i="3"/>
  <c r="O982" i="3"/>
  <c r="P982" i="3"/>
  <c r="Q982" i="3"/>
  <c r="R982" i="3"/>
  <c r="N983" i="3"/>
  <c r="O983" i="3"/>
  <c r="P983" i="3"/>
  <c r="Q983" i="3"/>
  <c r="R983" i="3"/>
  <c r="N984" i="3"/>
  <c r="O984" i="3"/>
  <c r="P984" i="3"/>
  <c r="Q984" i="3"/>
  <c r="R984" i="3"/>
  <c r="N985" i="3"/>
  <c r="O985" i="3"/>
  <c r="P985" i="3"/>
  <c r="Q985" i="3"/>
  <c r="R985" i="3"/>
  <c r="N986" i="3"/>
  <c r="O986" i="3"/>
  <c r="P986" i="3"/>
  <c r="Q986" i="3"/>
  <c r="R986" i="3"/>
  <c r="N987" i="3"/>
  <c r="O987" i="3"/>
  <c r="P987" i="3"/>
  <c r="Q987" i="3"/>
  <c r="R987" i="3"/>
  <c r="N988" i="3"/>
  <c r="O988" i="3"/>
  <c r="P988" i="3"/>
  <c r="Q988" i="3"/>
  <c r="R988" i="3"/>
  <c r="N989" i="3"/>
  <c r="O989" i="3"/>
  <c r="P989" i="3"/>
  <c r="Q989" i="3"/>
  <c r="R989" i="3"/>
  <c r="N990" i="3"/>
  <c r="O990" i="3"/>
  <c r="P990" i="3"/>
  <c r="Q990" i="3"/>
  <c r="R990" i="3"/>
  <c r="N991" i="3"/>
  <c r="O991" i="3"/>
  <c r="P991" i="3"/>
  <c r="Q991" i="3"/>
  <c r="R991" i="3"/>
  <c r="N992" i="3"/>
  <c r="O992" i="3"/>
  <c r="P992" i="3"/>
  <c r="Q992" i="3"/>
  <c r="R992" i="3"/>
  <c r="N993" i="3"/>
  <c r="O993" i="3"/>
  <c r="P993" i="3"/>
  <c r="Q993" i="3"/>
  <c r="R993" i="3"/>
  <c r="N994" i="3"/>
  <c r="O994" i="3"/>
  <c r="P994" i="3"/>
  <c r="Q994" i="3"/>
  <c r="R994" i="3"/>
  <c r="N995" i="3"/>
  <c r="O995" i="3"/>
  <c r="P995" i="3"/>
  <c r="Q995" i="3"/>
  <c r="R995" i="3"/>
  <c r="N996" i="3"/>
  <c r="O996" i="3"/>
  <c r="P996" i="3"/>
  <c r="Q996" i="3"/>
  <c r="R996" i="3"/>
  <c r="N997" i="3"/>
  <c r="O997" i="3"/>
  <c r="P997" i="3"/>
  <c r="Q997" i="3"/>
  <c r="R997" i="3"/>
  <c r="N998" i="3"/>
  <c r="O998" i="3"/>
  <c r="P998" i="3"/>
  <c r="Q998" i="3"/>
  <c r="R998" i="3"/>
  <c r="N999" i="3"/>
  <c r="O999" i="3"/>
  <c r="P999" i="3"/>
  <c r="Q999" i="3"/>
  <c r="R999" i="3"/>
  <c r="N1000" i="3"/>
  <c r="O1000" i="3"/>
  <c r="P1000" i="3"/>
  <c r="Q1000" i="3"/>
  <c r="R1000" i="3"/>
  <c r="N1001" i="3"/>
  <c r="O1001" i="3"/>
  <c r="P1001" i="3"/>
  <c r="Q1001" i="3"/>
  <c r="R1001" i="3"/>
  <c r="N1002" i="3"/>
  <c r="O1002" i="3"/>
  <c r="P1002" i="3"/>
  <c r="Q1002" i="3"/>
  <c r="R1002" i="3"/>
  <c r="N1003" i="3"/>
  <c r="O1003" i="3"/>
  <c r="P1003" i="3"/>
  <c r="Q1003" i="3"/>
  <c r="R1003" i="3"/>
  <c r="N1004" i="3"/>
  <c r="O1004" i="3"/>
  <c r="P1004" i="3"/>
  <c r="Q1004" i="3"/>
  <c r="R1004" i="3"/>
  <c r="N1005" i="3"/>
  <c r="O1005" i="3"/>
  <c r="P1005" i="3"/>
  <c r="Q1005" i="3"/>
  <c r="R1005" i="3"/>
  <c r="N1006" i="3"/>
  <c r="O1006" i="3"/>
  <c r="P1006" i="3"/>
  <c r="Q1006" i="3"/>
  <c r="R1006" i="3"/>
  <c r="N1007" i="3"/>
  <c r="O1007" i="3"/>
  <c r="P1007" i="3"/>
  <c r="Q1007" i="3"/>
  <c r="R1007" i="3"/>
  <c r="N1008" i="3"/>
  <c r="O1008" i="3"/>
  <c r="P1008" i="3"/>
  <c r="Q1008" i="3"/>
  <c r="R1008" i="3"/>
  <c r="N1009" i="3"/>
  <c r="O1009" i="3"/>
  <c r="P1009" i="3"/>
  <c r="Q1009" i="3"/>
  <c r="R1009" i="3"/>
  <c r="N1010" i="3"/>
  <c r="O1010" i="3"/>
  <c r="P1010" i="3"/>
  <c r="Q1010" i="3"/>
  <c r="R1010" i="3"/>
  <c r="N1011" i="3"/>
  <c r="O1011" i="3"/>
  <c r="P1011" i="3"/>
  <c r="Q1011" i="3"/>
  <c r="R1011" i="3"/>
  <c r="N1012" i="3"/>
  <c r="O1012" i="3"/>
  <c r="P1012" i="3"/>
  <c r="Q1012" i="3"/>
  <c r="R1012" i="3"/>
  <c r="N1013" i="3"/>
  <c r="O1013" i="3"/>
  <c r="P1013" i="3"/>
  <c r="Q1013" i="3"/>
  <c r="R1013" i="3"/>
  <c r="N1014" i="3"/>
  <c r="O1014" i="3"/>
  <c r="P1014" i="3"/>
  <c r="Q1014" i="3"/>
  <c r="R1014" i="3"/>
  <c r="N1015" i="3"/>
  <c r="O1015" i="3"/>
  <c r="P1015" i="3"/>
  <c r="Q1015" i="3"/>
  <c r="R1015" i="3"/>
  <c r="N1016" i="3"/>
  <c r="O1016" i="3"/>
  <c r="P1016" i="3"/>
  <c r="Q1016" i="3"/>
  <c r="R1016" i="3"/>
  <c r="N1017" i="3"/>
  <c r="O1017" i="3"/>
  <c r="P1017" i="3"/>
  <c r="Q1017" i="3"/>
  <c r="R1017" i="3"/>
  <c r="N1018" i="3"/>
  <c r="O1018" i="3"/>
  <c r="P1018" i="3"/>
  <c r="Q1018" i="3"/>
  <c r="R1018" i="3"/>
  <c r="N1019" i="3"/>
  <c r="O1019" i="3"/>
  <c r="P1019" i="3"/>
  <c r="Q1019" i="3"/>
  <c r="R1019" i="3"/>
  <c r="N1020" i="3"/>
  <c r="O1020" i="3"/>
  <c r="P1020" i="3"/>
  <c r="Q1020" i="3"/>
  <c r="R1020" i="3"/>
  <c r="N1021" i="3"/>
  <c r="O1021" i="3"/>
  <c r="P1021" i="3"/>
  <c r="Q1021" i="3"/>
  <c r="R1021" i="3"/>
  <c r="N1022" i="3"/>
  <c r="O1022" i="3"/>
  <c r="P1022" i="3"/>
  <c r="Q1022" i="3"/>
  <c r="R1022" i="3"/>
  <c r="N1023" i="3"/>
  <c r="O1023" i="3"/>
  <c r="P1023" i="3"/>
  <c r="Q1023" i="3"/>
  <c r="R1023" i="3"/>
  <c r="N1024" i="3"/>
  <c r="O1024" i="3"/>
  <c r="P1024" i="3"/>
  <c r="Q1024" i="3"/>
  <c r="R1024" i="3"/>
  <c r="N1025" i="3"/>
  <c r="O1025" i="3"/>
  <c r="P1025" i="3"/>
  <c r="Q1025" i="3"/>
  <c r="R1025" i="3"/>
  <c r="N1026" i="3"/>
  <c r="O1026" i="3"/>
  <c r="P1026" i="3"/>
  <c r="Q1026" i="3"/>
  <c r="R1026" i="3"/>
  <c r="N1027" i="3"/>
  <c r="O1027" i="3"/>
  <c r="P1027" i="3"/>
  <c r="Q1027" i="3"/>
  <c r="R1027" i="3"/>
  <c r="N1028" i="3"/>
  <c r="O1028" i="3"/>
  <c r="P1028" i="3"/>
  <c r="Q1028" i="3"/>
  <c r="R1028" i="3"/>
  <c r="N1029" i="3"/>
  <c r="O1029" i="3"/>
  <c r="P1029" i="3"/>
  <c r="Q1029" i="3"/>
  <c r="R1029" i="3"/>
  <c r="N1030" i="3"/>
  <c r="O1030" i="3"/>
  <c r="P1030" i="3"/>
  <c r="Q1030" i="3"/>
  <c r="R1030" i="3"/>
  <c r="N1031" i="3"/>
  <c r="O1031" i="3"/>
  <c r="P1031" i="3"/>
  <c r="Q1031" i="3"/>
  <c r="R1031" i="3"/>
  <c r="N1032" i="3"/>
  <c r="O1032" i="3"/>
  <c r="P1032" i="3"/>
  <c r="Q1032" i="3"/>
  <c r="R1032" i="3"/>
  <c r="N1033" i="3"/>
  <c r="O1033" i="3"/>
  <c r="P1033" i="3"/>
  <c r="Q1033" i="3"/>
  <c r="R1033" i="3"/>
  <c r="N1034" i="3"/>
  <c r="O1034" i="3"/>
  <c r="P1034" i="3"/>
  <c r="Q1034" i="3"/>
  <c r="R1034" i="3"/>
  <c r="N1035" i="3"/>
  <c r="O1035" i="3"/>
  <c r="P1035" i="3"/>
  <c r="Q1035" i="3"/>
  <c r="R1035" i="3"/>
  <c r="N1036" i="3"/>
  <c r="O1036" i="3"/>
  <c r="P1036" i="3"/>
  <c r="Q1036" i="3"/>
  <c r="R1036" i="3"/>
  <c r="N1037" i="3"/>
  <c r="O1037" i="3"/>
  <c r="P1037" i="3"/>
  <c r="Q1037" i="3"/>
  <c r="R1037" i="3"/>
  <c r="N1038" i="3"/>
  <c r="O1038" i="3"/>
  <c r="P1038" i="3"/>
  <c r="Q1038" i="3"/>
  <c r="R1038" i="3"/>
  <c r="N1039" i="3"/>
  <c r="O1039" i="3"/>
  <c r="P1039" i="3"/>
  <c r="Q1039" i="3"/>
  <c r="R1039" i="3"/>
  <c r="N1040" i="3"/>
  <c r="O1040" i="3"/>
  <c r="P1040" i="3"/>
  <c r="Q1040" i="3"/>
  <c r="R1040" i="3"/>
  <c r="N1041" i="3"/>
  <c r="O1041" i="3"/>
  <c r="P1041" i="3"/>
  <c r="Q1041" i="3"/>
  <c r="R1041" i="3"/>
  <c r="N1042" i="3"/>
  <c r="O1042" i="3"/>
  <c r="P1042" i="3"/>
  <c r="Q1042" i="3"/>
  <c r="R1042" i="3"/>
  <c r="N1043" i="3"/>
  <c r="O1043" i="3"/>
  <c r="P1043" i="3"/>
  <c r="Q1043" i="3"/>
  <c r="R1043" i="3"/>
  <c r="N1044" i="3"/>
  <c r="O1044" i="3"/>
  <c r="P1044" i="3"/>
  <c r="Q1044" i="3"/>
  <c r="R1044" i="3"/>
  <c r="N1045" i="3"/>
  <c r="O1045" i="3"/>
  <c r="P1045" i="3"/>
  <c r="Q1045" i="3"/>
  <c r="R1045" i="3"/>
  <c r="N1046" i="3"/>
  <c r="O1046" i="3"/>
  <c r="P1046" i="3"/>
  <c r="Q1046" i="3"/>
  <c r="R1046" i="3"/>
  <c r="N1047" i="3"/>
  <c r="O1047" i="3"/>
  <c r="P1047" i="3"/>
  <c r="Q1047" i="3"/>
  <c r="R1047" i="3"/>
  <c r="N1048" i="3"/>
  <c r="O1048" i="3"/>
  <c r="P1048" i="3"/>
  <c r="Q1048" i="3"/>
  <c r="R1048" i="3"/>
  <c r="N1049" i="3"/>
  <c r="O1049" i="3"/>
  <c r="P1049" i="3"/>
  <c r="Q1049" i="3"/>
  <c r="R1049" i="3"/>
  <c r="N1050" i="3"/>
  <c r="O1050" i="3"/>
  <c r="P1050" i="3"/>
  <c r="Q1050" i="3"/>
  <c r="R1050" i="3"/>
  <c r="N1051" i="3"/>
  <c r="O1051" i="3"/>
  <c r="P1051" i="3"/>
  <c r="Q1051" i="3"/>
  <c r="R1051" i="3"/>
  <c r="N1052" i="3"/>
  <c r="O1052" i="3"/>
  <c r="P1052" i="3"/>
  <c r="Q1052" i="3"/>
  <c r="R1052" i="3"/>
  <c r="N1053" i="3"/>
  <c r="O1053" i="3"/>
  <c r="P1053" i="3"/>
  <c r="Q1053" i="3"/>
  <c r="R1053" i="3"/>
  <c r="N1054" i="3"/>
  <c r="O1054" i="3"/>
  <c r="P1054" i="3"/>
  <c r="Q1054" i="3"/>
  <c r="R1054" i="3"/>
  <c r="N1055" i="3"/>
  <c r="O1055" i="3"/>
  <c r="P1055" i="3"/>
  <c r="Q1055" i="3"/>
  <c r="R1055" i="3"/>
  <c r="N1056" i="3"/>
  <c r="O1056" i="3"/>
  <c r="P1056" i="3"/>
  <c r="Q1056" i="3"/>
  <c r="R1056" i="3"/>
  <c r="N1057" i="3"/>
  <c r="O1057" i="3"/>
  <c r="P1057" i="3"/>
  <c r="Q1057" i="3"/>
  <c r="R1057" i="3"/>
  <c r="N1058" i="3"/>
  <c r="O1058" i="3"/>
  <c r="P1058" i="3"/>
  <c r="Q1058" i="3"/>
  <c r="R1058" i="3"/>
  <c r="N1059" i="3"/>
  <c r="O1059" i="3"/>
  <c r="P1059" i="3"/>
  <c r="Q1059" i="3"/>
  <c r="R1059" i="3"/>
  <c r="N1060" i="3"/>
  <c r="O1060" i="3"/>
  <c r="P1060" i="3"/>
  <c r="Q1060" i="3"/>
  <c r="R1060" i="3"/>
  <c r="N1061" i="3"/>
  <c r="O1061" i="3"/>
  <c r="P1061" i="3"/>
  <c r="Q1061" i="3"/>
  <c r="R1061" i="3"/>
  <c r="N1062" i="3"/>
  <c r="O1062" i="3"/>
  <c r="P1062" i="3"/>
  <c r="Q1062" i="3"/>
  <c r="R1062" i="3"/>
  <c r="N1063" i="3"/>
  <c r="O1063" i="3"/>
  <c r="P1063" i="3"/>
  <c r="Q1063" i="3"/>
  <c r="R1063" i="3"/>
  <c r="N1064" i="3"/>
  <c r="O1064" i="3"/>
  <c r="P1064" i="3"/>
  <c r="Q1064" i="3"/>
  <c r="R1064" i="3"/>
  <c r="N1065" i="3"/>
  <c r="O1065" i="3"/>
  <c r="P1065" i="3"/>
  <c r="Q1065" i="3"/>
  <c r="R1065" i="3"/>
  <c r="N1066" i="3"/>
  <c r="O1066" i="3"/>
  <c r="P1066" i="3"/>
  <c r="Q1066" i="3"/>
  <c r="R1066" i="3"/>
  <c r="N1067" i="3"/>
  <c r="O1067" i="3"/>
  <c r="P1067" i="3"/>
  <c r="Q1067" i="3"/>
  <c r="R1067" i="3"/>
  <c r="N1068" i="3"/>
  <c r="O1068" i="3"/>
  <c r="P1068" i="3"/>
  <c r="Q1068" i="3"/>
  <c r="R1068" i="3"/>
  <c r="N1069" i="3"/>
  <c r="O1069" i="3"/>
  <c r="P1069" i="3"/>
  <c r="Q1069" i="3"/>
  <c r="R1069" i="3"/>
  <c r="N1070" i="3"/>
  <c r="O1070" i="3"/>
  <c r="P1070" i="3"/>
  <c r="Q1070" i="3"/>
  <c r="R1070" i="3"/>
  <c r="N1071" i="3"/>
  <c r="O1071" i="3"/>
  <c r="P1071" i="3"/>
  <c r="Q1071" i="3"/>
  <c r="R1071" i="3"/>
  <c r="N1072" i="3"/>
  <c r="O1072" i="3"/>
  <c r="P1072" i="3"/>
  <c r="Q1072" i="3"/>
  <c r="R1072" i="3"/>
  <c r="N1073" i="3"/>
  <c r="O1073" i="3"/>
  <c r="P1073" i="3"/>
  <c r="Q1073" i="3"/>
  <c r="R1073" i="3"/>
  <c r="N1074" i="3"/>
  <c r="O1074" i="3"/>
  <c r="P1074" i="3"/>
  <c r="Q1074" i="3"/>
  <c r="R1074" i="3"/>
  <c r="N1075" i="3"/>
  <c r="O1075" i="3"/>
  <c r="P1075" i="3"/>
  <c r="Q1075" i="3"/>
  <c r="R1075" i="3"/>
  <c r="N1076" i="3"/>
  <c r="O1076" i="3"/>
  <c r="P1076" i="3"/>
  <c r="Q1076" i="3"/>
  <c r="R1076" i="3"/>
  <c r="N1077" i="3"/>
  <c r="O1077" i="3"/>
  <c r="P1077" i="3"/>
  <c r="Q1077" i="3"/>
  <c r="R1077" i="3"/>
  <c r="N1078" i="3"/>
  <c r="O1078" i="3"/>
  <c r="P1078" i="3"/>
  <c r="Q1078" i="3"/>
  <c r="R1078" i="3"/>
  <c r="N1079" i="3"/>
  <c r="O1079" i="3"/>
  <c r="P1079" i="3"/>
  <c r="Q1079" i="3"/>
  <c r="R1079" i="3"/>
  <c r="N1080" i="3"/>
  <c r="O1080" i="3"/>
  <c r="P1080" i="3"/>
  <c r="Q1080" i="3"/>
  <c r="R1080" i="3"/>
  <c r="N1081" i="3"/>
  <c r="O1081" i="3"/>
  <c r="P1081" i="3"/>
  <c r="Q1081" i="3"/>
  <c r="R1081" i="3"/>
  <c r="N1082" i="3"/>
  <c r="O1082" i="3"/>
  <c r="P1082" i="3"/>
  <c r="Q1082" i="3"/>
  <c r="R1082" i="3"/>
  <c r="N1083" i="3"/>
  <c r="O1083" i="3"/>
  <c r="P1083" i="3"/>
  <c r="Q1083" i="3"/>
  <c r="R1083" i="3"/>
  <c r="N1084" i="3"/>
  <c r="O1084" i="3"/>
  <c r="P1084" i="3"/>
  <c r="Q1084" i="3"/>
  <c r="R1084" i="3"/>
  <c r="N1085" i="3"/>
  <c r="O1085" i="3"/>
  <c r="P1085" i="3"/>
  <c r="Q1085" i="3"/>
  <c r="R1085" i="3"/>
  <c r="N1086" i="3"/>
  <c r="O1086" i="3"/>
  <c r="P1086" i="3"/>
  <c r="Q1086" i="3"/>
  <c r="R1086" i="3"/>
  <c r="N1087" i="3"/>
  <c r="O1087" i="3"/>
  <c r="P1087" i="3"/>
  <c r="Q1087" i="3"/>
  <c r="R1087" i="3"/>
  <c r="N1088" i="3"/>
  <c r="O1088" i="3"/>
  <c r="P1088" i="3"/>
  <c r="Q1088" i="3"/>
  <c r="R1088" i="3"/>
  <c r="N1089" i="3"/>
  <c r="O1089" i="3"/>
  <c r="P1089" i="3"/>
  <c r="Q1089" i="3"/>
  <c r="R1089" i="3"/>
  <c r="N1090" i="3"/>
  <c r="O1090" i="3"/>
  <c r="P1090" i="3"/>
  <c r="Q1090" i="3"/>
  <c r="R1090" i="3"/>
  <c r="N1091" i="3"/>
  <c r="O1091" i="3"/>
  <c r="P1091" i="3"/>
  <c r="Q1091" i="3"/>
  <c r="R1091" i="3"/>
  <c r="N1092" i="3"/>
  <c r="O1092" i="3"/>
  <c r="P1092" i="3"/>
  <c r="Q1092" i="3"/>
  <c r="R1092" i="3"/>
  <c r="N1093" i="3"/>
  <c r="O1093" i="3"/>
  <c r="P1093" i="3"/>
  <c r="Q1093" i="3"/>
  <c r="R1093" i="3"/>
  <c r="N1094" i="3"/>
  <c r="O1094" i="3"/>
  <c r="P1094" i="3"/>
  <c r="Q1094" i="3"/>
  <c r="R1094" i="3"/>
  <c r="N1095" i="3"/>
  <c r="O1095" i="3"/>
  <c r="P1095" i="3"/>
  <c r="Q1095" i="3"/>
  <c r="R1095" i="3"/>
  <c r="N1096" i="3"/>
  <c r="O1096" i="3"/>
  <c r="P1096" i="3"/>
  <c r="Q1096" i="3"/>
  <c r="R1096" i="3"/>
  <c r="N1097" i="3"/>
  <c r="O1097" i="3"/>
  <c r="P1097" i="3"/>
  <c r="Q1097" i="3"/>
  <c r="R1097" i="3"/>
  <c r="N1098" i="3"/>
  <c r="O1098" i="3"/>
  <c r="P1098" i="3"/>
  <c r="Q1098" i="3"/>
  <c r="R1098" i="3"/>
  <c r="N1099" i="3"/>
  <c r="O1099" i="3"/>
  <c r="P1099" i="3"/>
  <c r="Q1099" i="3"/>
  <c r="R1099" i="3"/>
  <c r="N1100" i="3"/>
  <c r="O1100" i="3"/>
  <c r="P1100" i="3"/>
  <c r="Q1100" i="3"/>
  <c r="R1100" i="3"/>
  <c r="N1101" i="3"/>
  <c r="O1101" i="3"/>
  <c r="P1101" i="3"/>
  <c r="Q1101" i="3"/>
  <c r="R1101" i="3"/>
  <c r="N1102" i="3"/>
  <c r="O1102" i="3"/>
  <c r="P1102" i="3"/>
  <c r="Q1102" i="3"/>
  <c r="R1102" i="3"/>
  <c r="N1103" i="3"/>
  <c r="O1103" i="3"/>
  <c r="P1103" i="3"/>
  <c r="Q1103" i="3"/>
  <c r="R1103" i="3"/>
  <c r="N1104" i="3"/>
  <c r="O1104" i="3"/>
  <c r="P1104" i="3"/>
  <c r="Q1104" i="3"/>
  <c r="R1104" i="3"/>
  <c r="N1105" i="3"/>
  <c r="O1105" i="3"/>
  <c r="P1105" i="3"/>
  <c r="Q1105" i="3"/>
  <c r="R1105" i="3"/>
  <c r="N1106" i="3"/>
  <c r="O1106" i="3"/>
  <c r="P1106" i="3"/>
  <c r="Q1106" i="3"/>
  <c r="R1106" i="3"/>
  <c r="N1107" i="3"/>
  <c r="O1107" i="3"/>
  <c r="P1107" i="3"/>
  <c r="Q1107" i="3"/>
  <c r="R1107" i="3"/>
  <c r="N1108" i="3"/>
  <c r="O1108" i="3"/>
  <c r="P1108" i="3"/>
  <c r="Q1108" i="3"/>
  <c r="R1108" i="3"/>
  <c r="N1109" i="3"/>
  <c r="O1109" i="3"/>
  <c r="P1109" i="3"/>
  <c r="Q1109" i="3"/>
  <c r="R1109" i="3"/>
  <c r="N1110" i="3"/>
  <c r="O1110" i="3"/>
  <c r="P1110" i="3"/>
  <c r="Q1110" i="3"/>
  <c r="R1110" i="3"/>
  <c r="N1111" i="3"/>
  <c r="O1111" i="3"/>
  <c r="P1111" i="3"/>
  <c r="Q1111" i="3"/>
  <c r="R1111" i="3"/>
  <c r="N1112" i="3"/>
  <c r="O1112" i="3"/>
  <c r="P1112" i="3"/>
  <c r="Q1112" i="3"/>
  <c r="R1112" i="3"/>
  <c r="N1113" i="3"/>
  <c r="O1113" i="3"/>
  <c r="P1113" i="3"/>
  <c r="Q1113" i="3"/>
  <c r="R1113" i="3"/>
  <c r="N1114" i="3"/>
  <c r="O1114" i="3"/>
  <c r="P1114" i="3"/>
  <c r="Q1114" i="3"/>
  <c r="R1114" i="3"/>
  <c r="N1115" i="3"/>
  <c r="O1115" i="3"/>
  <c r="P1115" i="3"/>
  <c r="Q1115" i="3"/>
  <c r="R1115" i="3"/>
  <c r="N1116" i="3"/>
  <c r="O1116" i="3"/>
  <c r="P1116" i="3"/>
  <c r="Q1116" i="3"/>
  <c r="R1116" i="3"/>
  <c r="N1117" i="3"/>
  <c r="O1117" i="3"/>
  <c r="P1117" i="3"/>
  <c r="Q1117" i="3"/>
  <c r="R1117" i="3"/>
  <c r="N1118" i="3"/>
  <c r="O1118" i="3"/>
  <c r="P1118" i="3"/>
  <c r="Q1118" i="3"/>
  <c r="R1118" i="3"/>
  <c r="N1119" i="3"/>
  <c r="O1119" i="3"/>
  <c r="P1119" i="3"/>
  <c r="Q1119" i="3"/>
  <c r="R1119" i="3"/>
  <c r="N1120" i="3"/>
  <c r="O1120" i="3"/>
  <c r="P1120" i="3"/>
  <c r="Q1120" i="3"/>
  <c r="R1120" i="3"/>
  <c r="N1121" i="3"/>
  <c r="O1121" i="3"/>
  <c r="P1121" i="3"/>
  <c r="Q1121" i="3"/>
  <c r="R1121" i="3"/>
  <c r="N1122" i="3"/>
  <c r="O1122" i="3"/>
  <c r="P1122" i="3"/>
  <c r="Q1122" i="3"/>
  <c r="R1122" i="3"/>
  <c r="N1123" i="3"/>
  <c r="O1123" i="3"/>
  <c r="P1123" i="3"/>
  <c r="Q1123" i="3"/>
  <c r="R1123" i="3"/>
  <c r="N1124" i="3"/>
  <c r="O1124" i="3"/>
  <c r="P1124" i="3"/>
  <c r="Q1124" i="3"/>
  <c r="R1124" i="3"/>
  <c r="N1125" i="3"/>
  <c r="O1125" i="3"/>
  <c r="P1125" i="3"/>
  <c r="Q1125" i="3"/>
  <c r="R1125" i="3"/>
  <c r="N1126" i="3"/>
  <c r="O1126" i="3"/>
  <c r="P1126" i="3"/>
  <c r="Q1126" i="3"/>
  <c r="R1126" i="3"/>
  <c r="N1127" i="3"/>
  <c r="O1127" i="3"/>
  <c r="P1127" i="3"/>
  <c r="Q1127" i="3"/>
  <c r="R1127" i="3"/>
  <c r="N1128" i="3"/>
  <c r="O1128" i="3"/>
  <c r="P1128" i="3"/>
  <c r="Q1128" i="3"/>
  <c r="R1128" i="3"/>
  <c r="N1129" i="3"/>
  <c r="O1129" i="3"/>
  <c r="P1129" i="3"/>
  <c r="Q1129" i="3"/>
  <c r="R1129" i="3"/>
  <c r="N1130" i="3"/>
  <c r="O1130" i="3"/>
  <c r="P1130" i="3"/>
  <c r="Q1130" i="3"/>
  <c r="R1130" i="3"/>
  <c r="N1131" i="3"/>
  <c r="O1131" i="3"/>
  <c r="P1131" i="3"/>
  <c r="Q1131" i="3"/>
  <c r="R1131" i="3"/>
  <c r="N1132" i="3"/>
  <c r="O1132" i="3"/>
  <c r="P1132" i="3"/>
  <c r="Q1132" i="3"/>
  <c r="R1132" i="3"/>
  <c r="N1133" i="3"/>
  <c r="O1133" i="3"/>
  <c r="P1133" i="3"/>
  <c r="Q1133" i="3"/>
  <c r="R1133" i="3"/>
  <c r="N1134" i="3"/>
  <c r="O1134" i="3"/>
  <c r="P1134" i="3"/>
  <c r="Q1134" i="3"/>
  <c r="R1134" i="3"/>
  <c r="N1135" i="3"/>
  <c r="O1135" i="3"/>
  <c r="P1135" i="3"/>
  <c r="Q1135" i="3"/>
  <c r="R1135" i="3"/>
  <c r="N1136" i="3"/>
  <c r="O1136" i="3"/>
  <c r="P1136" i="3"/>
  <c r="Q1136" i="3"/>
  <c r="R1136" i="3"/>
  <c r="N1137" i="3"/>
  <c r="O1137" i="3"/>
  <c r="P1137" i="3"/>
  <c r="Q1137" i="3"/>
  <c r="R1137" i="3"/>
  <c r="N1138" i="3"/>
  <c r="O1138" i="3"/>
  <c r="P1138" i="3"/>
  <c r="Q1138" i="3"/>
  <c r="R1138" i="3"/>
  <c r="N1139" i="3"/>
  <c r="O1139" i="3"/>
  <c r="P1139" i="3"/>
  <c r="Q1139" i="3"/>
  <c r="R1139" i="3"/>
  <c r="N1140" i="3"/>
  <c r="O1140" i="3"/>
  <c r="P1140" i="3"/>
  <c r="Q1140" i="3"/>
  <c r="R1140" i="3"/>
  <c r="N1141" i="3"/>
  <c r="O1141" i="3"/>
  <c r="P1141" i="3"/>
  <c r="Q1141" i="3"/>
  <c r="R1141" i="3"/>
  <c r="N1142" i="3"/>
  <c r="O1142" i="3"/>
  <c r="P1142" i="3"/>
  <c r="Q1142" i="3"/>
  <c r="R1142" i="3"/>
  <c r="N1143" i="3"/>
  <c r="O1143" i="3"/>
  <c r="P1143" i="3"/>
  <c r="Q1143" i="3"/>
  <c r="R1143" i="3"/>
  <c r="N1144" i="3"/>
  <c r="O1144" i="3"/>
  <c r="P1144" i="3"/>
  <c r="Q1144" i="3"/>
  <c r="R1144" i="3"/>
  <c r="N1145" i="3"/>
  <c r="O1145" i="3"/>
  <c r="P1145" i="3"/>
  <c r="Q1145" i="3"/>
  <c r="R1145" i="3"/>
  <c r="N1146" i="3"/>
  <c r="O1146" i="3"/>
  <c r="P1146" i="3"/>
  <c r="Q1146" i="3"/>
  <c r="R1146" i="3"/>
  <c r="N1147" i="3"/>
  <c r="O1147" i="3"/>
  <c r="P1147" i="3"/>
  <c r="Q1147" i="3"/>
  <c r="R1147" i="3"/>
  <c r="N1148" i="3"/>
  <c r="O1148" i="3"/>
  <c r="P1148" i="3"/>
  <c r="Q1148" i="3"/>
  <c r="R1148" i="3"/>
  <c r="N1149" i="3"/>
  <c r="O1149" i="3"/>
  <c r="P1149" i="3"/>
  <c r="Q1149" i="3"/>
  <c r="R1149" i="3"/>
  <c r="N1150" i="3"/>
  <c r="O1150" i="3"/>
  <c r="P1150" i="3"/>
  <c r="Q1150" i="3"/>
  <c r="R1150" i="3"/>
  <c r="N1151" i="3"/>
  <c r="O1151" i="3"/>
  <c r="P1151" i="3"/>
  <c r="Q1151" i="3"/>
  <c r="R1151" i="3"/>
  <c r="N1152" i="3"/>
  <c r="O1152" i="3"/>
  <c r="P1152" i="3"/>
  <c r="Q1152" i="3"/>
  <c r="R1152" i="3"/>
  <c r="N1153" i="3"/>
  <c r="O1153" i="3"/>
  <c r="P1153" i="3"/>
  <c r="Q1153" i="3"/>
  <c r="R1153" i="3"/>
  <c r="N1154" i="3"/>
  <c r="O1154" i="3"/>
  <c r="P1154" i="3"/>
  <c r="Q1154" i="3"/>
  <c r="R1154" i="3"/>
  <c r="N1155" i="3"/>
  <c r="O1155" i="3"/>
  <c r="P1155" i="3"/>
  <c r="Q1155" i="3"/>
  <c r="R1155" i="3"/>
  <c r="N1156" i="3"/>
  <c r="O1156" i="3"/>
  <c r="P1156" i="3"/>
  <c r="Q1156" i="3"/>
  <c r="R1156" i="3"/>
  <c r="N1157" i="3"/>
  <c r="O1157" i="3"/>
  <c r="P1157" i="3"/>
  <c r="Q1157" i="3"/>
  <c r="R1157" i="3"/>
  <c r="N1158" i="3"/>
  <c r="O1158" i="3"/>
  <c r="P1158" i="3"/>
  <c r="Q1158" i="3"/>
  <c r="R1158" i="3"/>
  <c r="N1159" i="3"/>
  <c r="O1159" i="3"/>
  <c r="P1159" i="3"/>
  <c r="Q1159" i="3"/>
  <c r="R1159" i="3"/>
  <c r="N1160" i="3"/>
  <c r="O1160" i="3"/>
  <c r="P1160" i="3"/>
  <c r="Q1160" i="3"/>
  <c r="R1160" i="3"/>
  <c r="N1161" i="3"/>
  <c r="O1161" i="3"/>
  <c r="P1161" i="3"/>
  <c r="Q1161" i="3"/>
  <c r="R1161" i="3"/>
  <c r="N1162" i="3"/>
  <c r="O1162" i="3"/>
  <c r="P1162" i="3"/>
  <c r="Q1162" i="3"/>
  <c r="R1162" i="3"/>
  <c r="N1163" i="3"/>
  <c r="O1163" i="3"/>
  <c r="P1163" i="3"/>
  <c r="Q1163" i="3"/>
  <c r="R1163" i="3"/>
  <c r="N1164" i="3"/>
  <c r="O1164" i="3"/>
  <c r="P1164" i="3"/>
  <c r="Q1164" i="3"/>
  <c r="R1164" i="3"/>
  <c r="N1165" i="3"/>
  <c r="O1165" i="3"/>
  <c r="P1165" i="3"/>
  <c r="Q1165" i="3"/>
  <c r="R1165" i="3"/>
  <c r="N1166" i="3"/>
  <c r="O1166" i="3"/>
  <c r="P1166" i="3"/>
  <c r="Q1166" i="3"/>
  <c r="R1166" i="3"/>
  <c r="N1167" i="3"/>
  <c r="O1167" i="3"/>
  <c r="P1167" i="3"/>
  <c r="Q1167" i="3"/>
  <c r="R1167" i="3"/>
  <c r="N1168" i="3"/>
  <c r="O1168" i="3"/>
  <c r="P1168" i="3"/>
  <c r="Q1168" i="3"/>
  <c r="R1168" i="3"/>
  <c r="N1169" i="3"/>
  <c r="O1169" i="3"/>
  <c r="P1169" i="3"/>
  <c r="Q1169" i="3"/>
  <c r="R1169" i="3"/>
  <c r="N1170" i="3"/>
  <c r="O1170" i="3"/>
  <c r="P1170" i="3"/>
  <c r="Q1170" i="3"/>
  <c r="R1170" i="3"/>
  <c r="N1171" i="3"/>
  <c r="O1171" i="3"/>
  <c r="P1171" i="3"/>
  <c r="Q1171" i="3"/>
  <c r="R1171" i="3"/>
  <c r="N1172" i="3"/>
  <c r="O1172" i="3"/>
  <c r="P1172" i="3"/>
  <c r="Q1172" i="3"/>
  <c r="R1172" i="3"/>
  <c r="N1173" i="3"/>
  <c r="O1173" i="3"/>
  <c r="P1173" i="3"/>
  <c r="Q1173" i="3"/>
  <c r="R1173" i="3"/>
  <c r="N1174" i="3"/>
  <c r="O1174" i="3"/>
  <c r="P1174" i="3"/>
  <c r="Q1174" i="3"/>
  <c r="R1174" i="3"/>
  <c r="N1175" i="3"/>
  <c r="O1175" i="3"/>
  <c r="P1175" i="3"/>
  <c r="Q1175" i="3"/>
  <c r="R1175" i="3"/>
  <c r="N1176" i="3"/>
  <c r="O1176" i="3"/>
  <c r="P1176" i="3"/>
  <c r="Q1176" i="3"/>
  <c r="R1176" i="3"/>
  <c r="N1177" i="3"/>
  <c r="O1177" i="3"/>
  <c r="P1177" i="3"/>
  <c r="Q1177" i="3"/>
  <c r="R1177" i="3"/>
  <c r="N1178" i="3"/>
  <c r="O1178" i="3"/>
  <c r="P1178" i="3"/>
  <c r="Q1178" i="3"/>
  <c r="R1178" i="3"/>
  <c r="N1179" i="3"/>
  <c r="O1179" i="3"/>
  <c r="P1179" i="3"/>
  <c r="Q1179" i="3"/>
  <c r="R1179" i="3"/>
  <c r="N1180" i="3"/>
  <c r="O1180" i="3"/>
  <c r="P1180" i="3"/>
  <c r="Q1180" i="3"/>
  <c r="R1180" i="3"/>
  <c r="N1181" i="3"/>
  <c r="O1181" i="3"/>
  <c r="P1181" i="3"/>
  <c r="Q1181" i="3"/>
  <c r="R1181" i="3"/>
  <c r="N1182" i="3"/>
  <c r="O1182" i="3"/>
  <c r="P1182" i="3"/>
  <c r="Q1182" i="3"/>
  <c r="R1182" i="3"/>
  <c r="N1183" i="3"/>
  <c r="O1183" i="3"/>
  <c r="P1183" i="3"/>
  <c r="Q1183" i="3"/>
  <c r="R1183" i="3"/>
  <c r="N1184" i="3"/>
  <c r="O1184" i="3"/>
  <c r="P1184" i="3"/>
  <c r="Q1184" i="3"/>
  <c r="R1184" i="3"/>
  <c r="N1185" i="3"/>
  <c r="O1185" i="3"/>
  <c r="P1185" i="3"/>
  <c r="Q1185" i="3"/>
  <c r="R1185" i="3"/>
  <c r="N1186" i="3"/>
  <c r="O1186" i="3"/>
  <c r="P1186" i="3"/>
  <c r="Q1186" i="3"/>
  <c r="R1186" i="3"/>
  <c r="N1187" i="3"/>
  <c r="O1187" i="3"/>
  <c r="P1187" i="3"/>
  <c r="Q1187" i="3"/>
  <c r="R1187" i="3"/>
  <c r="N1188" i="3"/>
  <c r="O1188" i="3"/>
  <c r="P1188" i="3"/>
  <c r="Q1188" i="3"/>
  <c r="R1188" i="3"/>
  <c r="N1189" i="3"/>
  <c r="O1189" i="3"/>
  <c r="P1189" i="3"/>
  <c r="Q1189" i="3"/>
  <c r="R1189" i="3"/>
  <c r="N1190" i="3"/>
  <c r="O1190" i="3"/>
  <c r="P1190" i="3"/>
  <c r="Q1190" i="3"/>
  <c r="R1190" i="3"/>
  <c r="N1191" i="3"/>
  <c r="O1191" i="3"/>
  <c r="P1191" i="3"/>
  <c r="Q1191" i="3"/>
  <c r="R1191" i="3"/>
  <c r="N1192" i="3"/>
  <c r="O1192" i="3"/>
  <c r="P1192" i="3"/>
  <c r="Q1192" i="3"/>
  <c r="R1192" i="3"/>
  <c r="N1193" i="3"/>
  <c r="O1193" i="3"/>
  <c r="P1193" i="3"/>
  <c r="Q1193" i="3"/>
  <c r="R1193" i="3"/>
  <c r="N1194" i="3"/>
  <c r="O1194" i="3"/>
  <c r="P1194" i="3"/>
  <c r="Q1194" i="3"/>
  <c r="R1194" i="3"/>
  <c r="N1195" i="3"/>
  <c r="O1195" i="3"/>
  <c r="P1195" i="3"/>
  <c r="Q1195" i="3"/>
  <c r="R1195" i="3"/>
  <c r="N1196" i="3"/>
  <c r="O1196" i="3"/>
  <c r="P1196" i="3"/>
  <c r="Q1196" i="3"/>
  <c r="R1196" i="3"/>
  <c r="N1197" i="3"/>
  <c r="O1197" i="3"/>
  <c r="P1197" i="3"/>
  <c r="Q1197" i="3"/>
  <c r="R1197" i="3"/>
  <c r="N1198" i="3"/>
  <c r="O1198" i="3"/>
  <c r="P1198" i="3"/>
  <c r="Q1198" i="3"/>
  <c r="R1198" i="3"/>
  <c r="N1199" i="3"/>
  <c r="O1199" i="3"/>
  <c r="P1199" i="3"/>
  <c r="Q1199" i="3"/>
  <c r="R1199" i="3"/>
  <c r="N1200" i="3"/>
  <c r="O1200" i="3"/>
  <c r="P1200" i="3"/>
  <c r="Q1200" i="3"/>
  <c r="R1200" i="3"/>
  <c r="N1201" i="3"/>
  <c r="O1201" i="3"/>
  <c r="P1201" i="3"/>
  <c r="Q1201" i="3"/>
  <c r="R1201" i="3"/>
  <c r="N1202" i="3"/>
  <c r="O1202" i="3"/>
  <c r="P1202" i="3"/>
  <c r="Q1202" i="3"/>
  <c r="R1202" i="3"/>
  <c r="N1203" i="3"/>
  <c r="O1203" i="3"/>
  <c r="P1203" i="3"/>
  <c r="Q1203" i="3"/>
  <c r="R1203" i="3"/>
  <c r="N1204" i="3"/>
  <c r="O1204" i="3"/>
  <c r="P1204" i="3"/>
  <c r="Q1204" i="3"/>
  <c r="R1204" i="3"/>
  <c r="N1205" i="3"/>
  <c r="O1205" i="3"/>
  <c r="P1205" i="3"/>
  <c r="Q1205" i="3"/>
  <c r="R1205" i="3"/>
  <c r="N1206" i="3"/>
  <c r="O1206" i="3"/>
  <c r="P1206" i="3"/>
  <c r="Q1206" i="3"/>
  <c r="R1206" i="3"/>
  <c r="N1207" i="3"/>
  <c r="O1207" i="3"/>
  <c r="P1207" i="3"/>
  <c r="Q1207" i="3"/>
  <c r="R1207" i="3"/>
  <c r="N1208" i="3"/>
  <c r="O1208" i="3"/>
  <c r="P1208" i="3"/>
  <c r="Q1208" i="3"/>
  <c r="R1208" i="3"/>
  <c r="N1209" i="3"/>
  <c r="O1209" i="3"/>
  <c r="P1209" i="3"/>
  <c r="Q1209" i="3"/>
  <c r="R1209" i="3"/>
  <c r="N1210" i="3"/>
  <c r="O1210" i="3"/>
  <c r="P1210" i="3"/>
  <c r="Q1210" i="3"/>
  <c r="R1210" i="3"/>
  <c r="N1211" i="3"/>
  <c r="O1211" i="3"/>
  <c r="P1211" i="3"/>
  <c r="Q1211" i="3"/>
  <c r="R1211" i="3"/>
  <c r="N1212" i="3"/>
  <c r="O1212" i="3"/>
  <c r="P1212" i="3"/>
  <c r="Q1212" i="3"/>
  <c r="R1212" i="3"/>
  <c r="N1213" i="3"/>
  <c r="O1213" i="3"/>
  <c r="P1213" i="3"/>
  <c r="Q1213" i="3"/>
  <c r="R1213" i="3"/>
  <c r="N1214" i="3"/>
  <c r="O1214" i="3"/>
  <c r="P1214" i="3"/>
  <c r="Q1214" i="3"/>
  <c r="R1214" i="3"/>
  <c r="N1215" i="3"/>
  <c r="O1215" i="3"/>
  <c r="P1215" i="3"/>
  <c r="Q1215" i="3"/>
  <c r="R1215" i="3"/>
  <c r="N1216" i="3"/>
  <c r="O1216" i="3"/>
  <c r="P1216" i="3"/>
  <c r="Q1216" i="3"/>
  <c r="R1216" i="3"/>
  <c r="N1217" i="3"/>
  <c r="O1217" i="3"/>
  <c r="P1217" i="3"/>
  <c r="Q1217" i="3"/>
  <c r="R1217" i="3"/>
  <c r="N1218" i="3"/>
  <c r="O1218" i="3"/>
  <c r="P1218" i="3"/>
  <c r="Q1218" i="3"/>
  <c r="R1218" i="3"/>
  <c r="N1219" i="3"/>
  <c r="O1219" i="3"/>
  <c r="P1219" i="3"/>
  <c r="Q1219" i="3"/>
  <c r="R1219" i="3"/>
  <c r="N1220" i="3"/>
  <c r="O1220" i="3"/>
  <c r="P1220" i="3"/>
  <c r="Q1220" i="3"/>
  <c r="R1220" i="3"/>
  <c r="N1221" i="3"/>
  <c r="O1221" i="3"/>
  <c r="P1221" i="3"/>
  <c r="Q1221" i="3"/>
  <c r="R1221" i="3"/>
  <c r="N1222" i="3"/>
  <c r="O1222" i="3"/>
  <c r="P1222" i="3"/>
  <c r="Q1222" i="3"/>
  <c r="R1222" i="3"/>
  <c r="N1223" i="3"/>
  <c r="O1223" i="3"/>
  <c r="P1223" i="3"/>
  <c r="Q1223" i="3"/>
  <c r="R1223" i="3"/>
  <c r="N1224" i="3"/>
  <c r="O1224" i="3"/>
  <c r="P1224" i="3"/>
  <c r="Q1224" i="3"/>
  <c r="R1224" i="3"/>
  <c r="N1225" i="3"/>
  <c r="O1225" i="3"/>
  <c r="P1225" i="3"/>
  <c r="Q1225" i="3"/>
  <c r="R1225" i="3"/>
  <c r="N1226" i="3"/>
  <c r="O1226" i="3"/>
  <c r="P1226" i="3"/>
  <c r="Q1226" i="3"/>
  <c r="R1226" i="3"/>
  <c r="N1227" i="3"/>
  <c r="O1227" i="3"/>
  <c r="P1227" i="3"/>
  <c r="Q1227" i="3"/>
  <c r="R1227" i="3"/>
  <c r="N1228" i="3"/>
  <c r="O1228" i="3"/>
  <c r="P1228" i="3"/>
  <c r="Q1228" i="3"/>
  <c r="R1228" i="3"/>
  <c r="N1229" i="3"/>
  <c r="O1229" i="3"/>
  <c r="P1229" i="3"/>
  <c r="Q1229" i="3"/>
  <c r="R1229" i="3"/>
  <c r="N1230" i="3"/>
  <c r="O1230" i="3"/>
  <c r="P1230" i="3"/>
  <c r="Q1230" i="3"/>
  <c r="R1230" i="3"/>
  <c r="N1231" i="3"/>
  <c r="O1231" i="3"/>
  <c r="P1231" i="3"/>
  <c r="Q1231" i="3"/>
  <c r="R1231" i="3"/>
  <c r="N1232" i="3"/>
  <c r="O1232" i="3"/>
  <c r="P1232" i="3"/>
  <c r="Q1232" i="3"/>
  <c r="R1232" i="3"/>
  <c r="N1233" i="3"/>
  <c r="O1233" i="3"/>
  <c r="P1233" i="3"/>
  <c r="Q1233" i="3"/>
  <c r="R1233" i="3"/>
  <c r="N1234" i="3"/>
  <c r="O1234" i="3"/>
  <c r="P1234" i="3"/>
  <c r="Q1234" i="3"/>
  <c r="R1234" i="3"/>
  <c r="N1235" i="3"/>
  <c r="O1235" i="3"/>
  <c r="P1235" i="3"/>
  <c r="Q1235" i="3"/>
  <c r="R1235" i="3"/>
  <c r="N1236" i="3"/>
  <c r="O1236" i="3"/>
  <c r="P1236" i="3"/>
  <c r="Q1236" i="3"/>
  <c r="R1236" i="3"/>
  <c r="N1237" i="3"/>
  <c r="O1237" i="3"/>
  <c r="P1237" i="3"/>
  <c r="Q1237" i="3"/>
  <c r="R1237" i="3"/>
  <c r="N1238" i="3"/>
  <c r="O1238" i="3"/>
  <c r="P1238" i="3"/>
  <c r="Q1238" i="3"/>
  <c r="R1238" i="3"/>
  <c r="N1239" i="3"/>
  <c r="O1239" i="3"/>
  <c r="P1239" i="3"/>
  <c r="Q1239" i="3"/>
  <c r="R1239" i="3"/>
  <c r="N1240" i="3"/>
  <c r="O1240" i="3"/>
  <c r="P1240" i="3"/>
  <c r="Q1240" i="3"/>
  <c r="R1240" i="3"/>
  <c r="N1241" i="3"/>
  <c r="O1241" i="3"/>
  <c r="P1241" i="3"/>
  <c r="Q1241" i="3"/>
  <c r="R1241" i="3"/>
  <c r="N1242" i="3"/>
  <c r="O1242" i="3"/>
  <c r="P1242" i="3"/>
  <c r="Q1242" i="3"/>
  <c r="R1242" i="3"/>
  <c r="N1243" i="3"/>
  <c r="O1243" i="3"/>
  <c r="P1243" i="3"/>
  <c r="Q1243" i="3"/>
  <c r="R1243" i="3"/>
  <c r="N1244" i="3"/>
  <c r="O1244" i="3"/>
  <c r="P1244" i="3"/>
  <c r="Q1244" i="3"/>
  <c r="R1244" i="3"/>
  <c r="N1245" i="3"/>
  <c r="O1245" i="3"/>
  <c r="P1245" i="3"/>
  <c r="Q1245" i="3"/>
  <c r="R1245" i="3"/>
  <c r="N1246" i="3"/>
  <c r="O1246" i="3"/>
  <c r="P1246" i="3"/>
  <c r="Q1246" i="3"/>
  <c r="R1246" i="3"/>
  <c r="N1247" i="3"/>
  <c r="O1247" i="3"/>
  <c r="P1247" i="3"/>
  <c r="Q1247" i="3"/>
  <c r="R1247" i="3"/>
  <c r="N1248" i="3"/>
  <c r="O1248" i="3"/>
  <c r="P1248" i="3"/>
  <c r="Q1248" i="3"/>
  <c r="R1248" i="3"/>
  <c r="N1249" i="3"/>
  <c r="O1249" i="3"/>
  <c r="P1249" i="3"/>
  <c r="Q1249" i="3"/>
  <c r="R1249" i="3"/>
  <c r="N1250" i="3"/>
  <c r="O1250" i="3"/>
  <c r="P1250" i="3"/>
  <c r="Q1250" i="3"/>
  <c r="R1250" i="3"/>
  <c r="N1251" i="3"/>
  <c r="O1251" i="3"/>
  <c r="P1251" i="3"/>
  <c r="Q1251" i="3"/>
  <c r="R1251" i="3"/>
  <c r="N1252" i="3"/>
  <c r="O1252" i="3"/>
  <c r="P1252" i="3"/>
  <c r="Q1252" i="3"/>
  <c r="R1252" i="3"/>
  <c r="N1253" i="3"/>
  <c r="O1253" i="3"/>
  <c r="P1253" i="3"/>
  <c r="Q1253" i="3"/>
  <c r="R1253" i="3"/>
  <c r="N1254" i="3"/>
  <c r="O1254" i="3"/>
  <c r="P1254" i="3"/>
  <c r="Q1254" i="3"/>
  <c r="R1254" i="3"/>
  <c r="N1255" i="3"/>
  <c r="O1255" i="3"/>
  <c r="P1255" i="3"/>
  <c r="Q1255" i="3"/>
  <c r="R1255" i="3"/>
  <c r="N1256" i="3"/>
  <c r="O1256" i="3"/>
  <c r="P1256" i="3"/>
  <c r="Q1256" i="3"/>
  <c r="R1256" i="3"/>
  <c r="N1257" i="3"/>
  <c r="O1257" i="3"/>
  <c r="P1257" i="3"/>
  <c r="Q1257" i="3"/>
  <c r="R1257" i="3"/>
  <c r="N1258" i="3"/>
  <c r="O1258" i="3"/>
  <c r="P1258" i="3"/>
  <c r="Q1258" i="3"/>
  <c r="R1258" i="3"/>
  <c r="N1259" i="3"/>
  <c r="O1259" i="3"/>
  <c r="P1259" i="3"/>
  <c r="Q1259" i="3"/>
  <c r="R1259" i="3"/>
  <c r="N1260" i="3"/>
  <c r="O1260" i="3"/>
  <c r="P1260" i="3"/>
  <c r="Q1260" i="3"/>
  <c r="R1260" i="3"/>
  <c r="N1261" i="3"/>
  <c r="O1261" i="3"/>
  <c r="P1261" i="3"/>
  <c r="Q1261" i="3"/>
  <c r="R1261" i="3"/>
  <c r="N1262" i="3"/>
  <c r="O1262" i="3"/>
  <c r="P1262" i="3"/>
  <c r="Q1262" i="3"/>
  <c r="R1262" i="3"/>
  <c r="N1263" i="3"/>
  <c r="O1263" i="3"/>
  <c r="P1263" i="3"/>
  <c r="Q1263" i="3"/>
  <c r="R1263" i="3"/>
  <c r="N1264" i="3"/>
  <c r="O1264" i="3"/>
  <c r="P1264" i="3"/>
  <c r="Q1264" i="3"/>
  <c r="R1264" i="3"/>
  <c r="N1265" i="3"/>
  <c r="O1265" i="3"/>
  <c r="P1265" i="3"/>
  <c r="Q1265" i="3"/>
  <c r="R1265" i="3"/>
  <c r="N1266" i="3"/>
  <c r="O1266" i="3"/>
  <c r="P1266" i="3"/>
  <c r="Q1266" i="3"/>
  <c r="R1266" i="3"/>
  <c r="N1267" i="3"/>
  <c r="O1267" i="3"/>
  <c r="P1267" i="3"/>
  <c r="Q1267" i="3"/>
  <c r="R1267" i="3"/>
  <c r="N1268" i="3"/>
  <c r="O1268" i="3"/>
  <c r="P1268" i="3"/>
  <c r="Q1268" i="3"/>
  <c r="R1268" i="3"/>
  <c r="N1269" i="3"/>
  <c r="O1269" i="3"/>
  <c r="P1269" i="3"/>
  <c r="Q1269" i="3"/>
  <c r="R1269" i="3"/>
  <c r="N1270" i="3"/>
  <c r="O1270" i="3"/>
  <c r="P1270" i="3"/>
  <c r="Q1270" i="3"/>
  <c r="R1270" i="3"/>
  <c r="N1271" i="3"/>
  <c r="O1271" i="3"/>
  <c r="P1271" i="3"/>
  <c r="Q1271" i="3"/>
  <c r="R1271" i="3"/>
  <c r="N1272" i="3"/>
  <c r="O1272" i="3"/>
  <c r="P1272" i="3"/>
  <c r="Q1272" i="3"/>
  <c r="R1272" i="3"/>
  <c r="N1273" i="3"/>
  <c r="O1273" i="3"/>
  <c r="P1273" i="3"/>
  <c r="Q1273" i="3"/>
  <c r="R1273" i="3"/>
  <c r="N1274" i="3"/>
  <c r="O1274" i="3"/>
  <c r="P1274" i="3"/>
  <c r="Q1274" i="3"/>
  <c r="R1274" i="3"/>
  <c r="N1275" i="3"/>
  <c r="O1275" i="3"/>
  <c r="P1275" i="3"/>
  <c r="Q1275" i="3"/>
  <c r="R1275" i="3"/>
  <c r="N1276" i="3"/>
  <c r="O1276" i="3"/>
  <c r="P1276" i="3"/>
  <c r="Q1276" i="3"/>
  <c r="R1276" i="3"/>
  <c r="N1277" i="3"/>
  <c r="O1277" i="3"/>
  <c r="P1277" i="3"/>
  <c r="Q1277" i="3"/>
  <c r="R1277" i="3"/>
  <c r="N1278" i="3"/>
  <c r="O1278" i="3"/>
  <c r="P1278" i="3"/>
  <c r="Q1278" i="3"/>
  <c r="R1278" i="3"/>
  <c r="N1279" i="3"/>
  <c r="O1279" i="3"/>
  <c r="P1279" i="3"/>
  <c r="Q1279" i="3"/>
  <c r="R1279" i="3"/>
  <c r="N1280" i="3"/>
  <c r="O1280" i="3"/>
  <c r="P1280" i="3"/>
  <c r="Q1280" i="3"/>
  <c r="R1280" i="3"/>
  <c r="N1281" i="3"/>
  <c r="O1281" i="3"/>
  <c r="P1281" i="3"/>
  <c r="Q1281" i="3"/>
  <c r="R1281" i="3"/>
  <c r="N1282" i="3"/>
  <c r="O1282" i="3"/>
  <c r="P1282" i="3"/>
  <c r="Q1282" i="3"/>
  <c r="R1282" i="3"/>
  <c r="N1283" i="3"/>
  <c r="O1283" i="3"/>
  <c r="P1283" i="3"/>
  <c r="Q1283" i="3"/>
  <c r="R1283" i="3"/>
  <c r="N1284" i="3"/>
  <c r="O1284" i="3"/>
  <c r="P1284" i="3"/>
  <c r="Q1284" i="3"/>
  <c r="R1284" i="3"/>
  <c r="N1285" i="3"/>
  <c r="O1285" i="3"/>
  <c r="P1285" i="3"/>
  <c r="Q1285" i="3"/>
  <c r="R1285" i="3"/>
  <c r="N1286" i="3"/>
  <c r="O1286" i="3"/>
  <c r="P1286" i="3"/>
  <c r="Q1286" i="3"/>
  <c r="R1286" i="3"/>
  <c r="N1287" i="3"/>
  <c r="O1287" i="3"/>
  <c r="P1287" i="3"/>
  <c r="Q1287" i="3"/>
  <c r="R1287" i="3"/>
  <c r="N1288" i="3"/>
  <c r="O1288" i="3"/>
  <c r="P1288" i="3"/>
  <c r="Q1288" i="3"/>
  <c r="R1288" i="3"/>
  <c r="N1289" i="3"/>
  <c r="O1289" i="3"/>
  <c r="P1289" i="3"/>
  <c r="Q1289" i="3"/>
  <c r="R1289" i="3"/>
  <c r="N1290" i="3"/>
  <c r="O1290" i="3"/>
  <c r="P1290" i="3"/>
  <c r="Q1290" i="3"/>
  <c r="R1290" i="3"/>
  <c r="N1291" i="3"/>
  <c r="O1291" i="3"/>
  <c r="P1291" i="3"/>
  <c r="Q1291" i="3"/>
  <c r="R1291" i="3"/>
  <c r="N1292" i="3"/>
  <c r="O1292" i="3"/>
  <c r="P1292" i="3"/>
  <c r="Q1292" i="3"/>
  <c r="R1292" i="3"/>
  <c r="N1293" i="3"/>
  <c r="O1293" i="3"/>
  <c r="P1293" i="3"/>
  <c r="Q1293" i="3"/>
  <c r="R1293" i="3"/>
  <c r="N1294" i="3"/>
  <c r="O1294" i="3"/>
  <c r="P1294" i="3"/>
  <c r="Q1294" i="3"/>
  <c r="R1294" i="3"/>
  <c r="N1295" i="3"/>
  <c r="O1295" i="3"/>
  <c r="P1295" i="3"/>
  <c r="Q1295" i="3"/>
  <c r="R1295" i="3"/>
  <c r="N1296" i="3"/>
  <c r="O1296" i="3"/>
  <c r="P1296" i="3"/>
  <c r="Q1296" i="3"/>
  <c r="R1296" i="3"/>
  <c r="N1297" i="3"/>
  <c r="O1297" i="3"/>
  <c r="P1297" i="3"/>
  <c r="Q1297" i="3"/>
  <c r="R1297" i="3"/>
  <c r="N1298" i="3"/>
  <c r="O1298" i="3"/>
  <c r="P1298" i="3"/>
  <c r="Q1298" i="3"/>
  <c r="R1298" i="3"/>
  <c r="N1299" i="3"/>
  <c r="O1299" i="3"/>
  <c r="P1299" i="3"/>
  <c r="Q1299" i="3"/>
  <c r="R1299" i="3"/>
  <c r="N1300" i="3"/>
  <c r="O1300" i="3"/>
  <c r="P1300" i="3"/>
  <c r="Q1300" i="3"/>
  <c r="R1300" i="3"/>
  <c r="N1301" i="3"/>
  <c r="O1301" i="3"/>
  <c r="P1301" i="3"/>
  <c r="Q1301" i="3"/>
  <c r="R1301" i="3"/>
  <c r="N1302" i="3"/>
  <c r="O1302" i="3"/>
  <c r="P1302" i="3"/>
  <c r="Q1302" i="3"/>
  <c r="R1302" i="3"/>
  <c r="N1303" i="3"/>
  <c r="O1303" i="3"/>
  <c r="P1303" i="3"/>
  <c r="Q1303" i="3"/>
  <c r="R1303" i="3"/>
  <c r="N1304" i="3"/>
  <c r="O1304" i="3"/>
  <c r="P1304" i="3"/>
  <c r="Q1304" i="3"/>
  <c r="R1304" i="3"/>
  <c r="N1305" i="3"/>
  <c r="O1305" i="3"/>
  <c r="P1305" i="3"/>
  <c r="Q1305" i="3"/>
  <c r="R1305" i="3"/>
  <c r="N1306" i="3"/>
  <c r="O1306" i="3"/>
  <c r="P1306" i="3"/>
  <c r="Q1306" i="3"/>
  <c r="R1306" i="3"/>
  <c r="N1307" i="3"/>
  <c r="O1307" i="3"/>
  <c r="P1307" i="3"/>
  <c r="Q1307" i="3"/>
  <c r="R1307" i="3"/>
  <c r="N1308" i="3"/>
  <c r="O1308" i="3"/>
  <c r="P1308" i="3"/>
  <c r="Q1308" i="3"/>
  <c r="R1308" i="3"/>
  <c r="N1309" i="3"/>
  <c r="O1309" i="3"/>
  <c r="P1309" i="3"/>
  <c r="Q1309" i="3"/>
  <c r="R1309" i="3"/>
  <c r="N1310" i="3"/>
  <c r="O1310" i="3"/>
  <c r="P1310" i="3"/>
  <c r="Q1310" i="3"/>
  <c r="R1310" i="3"/>
  <c r="N1311" i="3"/>
  <c r="O1311" i="3"/>
  <c r="P1311" i="3"/>
  <c r="Q1311" i="3"/>
  <c r="R1311" i="3"/>
  <c r="N1312" i="3"/>
  <c r="O1312" i="3"/>
  <c r="P1312" i="3"/>
  <c r="Q1312" i="3"/>
  <c r="R1312" i="3"/>
  <c r="N1313" i="3"/>
  <c r="O1313" i="3"/>
  <c r="P1313" i="3"/>
  <c r="Q1313" i="3"/>
  <c r="R1313" i="3"/>
  <c r="N1314" i="3"/>
  <c r="O1314" i="3"/>
  <c r="P1314" i="3"/>
  <c r="Q1314" i="3"/>
  <c r="R1314" i="3"/>
  <c r="N1315" i="3"/>
  <c r="O1315" i="3"/>
  <c r="P1315" i="3"/>
  <c r="Q1315" i="3"/>
  <c r="R1315" i="3"/>
  <c r="N1316" i="3"/>
  <c r="O1316" i="3"/>
  <c r="P1316" i="3"/>
  <c r="Q1316" i="3"/>
  <c r="R1316" i="3"/>
  <c r="N1317" i="3"/>
  <c r="O1317" i="3"/>
  <c r="P1317" i="3"/>
  <c r="Q1317" i="3"/>
  <c r="R1317" i="3"/>
  <c r="N1318" i="3"/>
  <c r="O1318" i="3"/>
  <c r="P1318" i="3"/>
  <c r="Q1318" i="3"/>
  <c r="R1318" i="3"/>
  <c r="N1319" i="3"/>
  <c r="O1319" i="3"/>
  <c r="P1319" i="3"/>
  <c r="Q1319" i="3"/>
  <c r="R1319" i="3"/>
  <c r="N1320" i="3"/>
  <c r="O1320" i="3"/>
  <c r="P1320" i="3"/>
  <c r="Q1320" i="3"/>
  <c r="R1320" i="3"/>
  <c r="N1321" i="3"/>
  <c r="O1321" i="3"/>
  <c r="P1321" i="3"/>
  <c r="Q1321" i="3"/>
  <c r="R1321" i="3"/>
  <c r="N1322" i="3"/>
  <c r="O1322" i="3"/>
  <c r="P1322" i="3"/>
  <c r="Q1322" i="3"/>
  <c r="R1322" i="3"/>
  <c r="N1323" i="3"/>
  <c r="O1323" i="3"/>
  <c r="P1323" i="3"/>
  <c r="Q1323" i="3"/>
  <c r="R1323" i="3"/>
  <c r="N1324" i="3"/>
  <c r="O1324" i="3"/>
  <c r="P1324" i="3"/>
  <c r="Q1324" i="3"/>
  <c r="R1324" i="3"/>
  <c r="N1325" i="3"/>
  <c r="O1325" i="3"/>
  <c r="P1325" i="3"/>
  <c r="Q1325" i="3"/>
  <c r="R1325" i="3"/>
  <c r="N1326" i="3"/>
  <c r="O1326" i="3"/>
  <c r="P1326" i="3"/>
  <c r="Q1326" i="3"/>
  <c r="R1326" i="3"/>
  <c r="N1327" i="3"/>
  <c r="O1327" i="3"/>
  <c r="P1327" i="3"/>
  <c r="Q1327" i="3"/>
  <c r="R1327" i="3"/>
  <c r="N1328" i="3"/>
  <c r="O1328" i="3"/>
  <c r="P1328" i="3"/>
  <c r="Q1328" i="3"/>
  <c r="R1328" i="3"/>
  <c r="N1329" i="3"/>
  <c r="O1329" i="3"/>
  <c r="P1329" i="3"/>
  <c r="Q1329" i="3"/>
  <c r="R1329" i="3"/>
  <c r="N1330" i="3"/>
  <c r="O1330" i="3"/>
  <c r="P1330" i="3"/>
  <c r="Q1330" i="3"/>
  <c r="R1330" i="3"/>
  <c r="N1331" i="3"/>
  <c r="O1331" i="3"/>
  <c r="P1331" i="3"/>
  <c r="Q1331" i="3"/>
  <c r="R1331" i="3"/>
  <c r="N1332" i="3"/>
  <c r="O1332" i="3"/>
  <c r="P1332" i="3"/>
  <c r="Q1332" i="3"/>
  <c r="R1332" i="3"/>
  <c r="N1333" i="3"/>
  <c r="O1333" i="3"/>
  <c r="P1333" i="3"/>
  <c r="Q1333" i="3"/>
  <c r="R1333" i="3"/>
  <c r="N1334" i="3"/>
  <c r="O1334" i="3"/>
  <c r="P1334" i="3"/>
  <c r="Q1334" i="3"/>
  <c r="R1334" i="3"/>
  <c r="N1335" i="3"/>
  <c r="O1335" i="3"/>
  <c r="P1335" i="3"/>
  <c r="Q1335" i="3"/>
  <c r="R1335" i="3"/>
  <c r="N1336" i="3"/>
  <c r="O1336" i="3"/>
  <c r="P1336" i="3"/>
  <c r="Q1336" i="3"/>
  <c r="R1336" i="3"/>
  <c r="N1337" i="3"/>
  <c r="O1337" i="3"/>
  <c r="P1337" i="3"/>
  <c r="Q1337" i="3"/>
  <c r="R1337" i="3"/>
  <c r="N1338" i="3"/>
  <c r="O1338" i="3"/>
  <c r="P1338" i="3"/>
  <c r="Q1338" i="3"/>
  <c r="R1338" i="3"/>
  <c r="N1339" i="3"/>
  <c r="O1339" i="3"/>
  <c r="P1339" i="3"/>
  <c r="Q1339" i="3"/>
  <c r="R1339" i="3"/>
  <c r="N1340" i="3"/>
  <c r="O1340" i="3"/>
  <c r="P1340" i="3"/>
  <c r="Q1340" i="3"/>
  <c r="R1340" i="3"/>
  <c r="N1341" i="3"/>
  <c r="O1341" i="3"/>
  <c r="P1341" i="3"/>
  <c r="Q1341" i="3"/>
  <c r="R1341" i="3"/>
  <c r="N1342" i="3"/>
  <c r="O1342" i="3"/>
  <c r="P1342" i="3"/>
  <c r="Q1342" i="3"/>
  <c r="R1342" i="3"/>
  <c r="N1343" i="3"/>
  <c r="O1343" i="3"/>
  <c r="P1343" i="3"/>
  <c r="Q1343" i="3"/>
  <c r="R1343" i="3"/>
  <c r="N1344" i="3"/>
  <c r="O1344" i="3"/>
  <c r="P1344" i="3"/>
  <c r="Q1344" i="3"/>
  <c r="R1344" i="3"/>
  <c r="N1345" i="3"/>
  <c r="O1345" i="3"/>
  <c r="P1345" i="3"/>
  <c r="Q1345" i="3"/>
  <c r="R1345" i="3"/>
  <c r="N1346" i="3"/>
  <c r="O1346" i="3"/>
  <c r="P1346" i="3"/>
  <c r="Q1346" i="3"/>
  <c r="R1346" i="3"/>
  <c r="N1347" i="3"/>
  <c r="O1347" i="3"/>
  <c r="P1347" i="3"/>
  <c r="Q1347" i="3"/>
  <c r="R1347" i="3"/>
  <c r="N1348" i="3"/>
  <c r="O1348" i="3"/>
  <c r="P1348" i="3"/>
  <c r="Q1348" i="3"/>
  <c r="R1348" i="3"/>
  <c r="N1349" i="3"/>
  <c r="O1349" i="3"/>
  <c r="P1349" i="3"/>
  <c r="Q1349" i="3"/>
  <c r="R1349" i="3"/>
  <c r="N1350" i="3"/>
  <c r="O1350" i="3"/>
  <c r="P1350" i="3"/>
  <c r="Q1350" i="3"/>
  <c r="R1350" i="3"/>
  <c r="N1351" i="3"/>
  <c r="O1351" i="3"/>
  <c r="P1351" i="3"/>
  <c r="Q1351" i="3"/>
  <c r="R1351" i="3"/>
  <c r="N1352" i="3"/>
  <c r="O1352" i="3"/>
  <c r="P1352" i="3"/>
  <c r="Q1352" i="3"/>
  <c r="R1352" i="3"/>
  <c r="N1353" i="3"/>
  <c r="O1353" i="3"/>
  <c r="P1353" i="3"/>
  <c r="Q1353" i="3"/>
  <c r="R1353" i="3"/>
  <c r="N1354" i="3"/>
  <c r="O1354" i="3"/>
  <c r="P1354" i="3"/>
  <c r="Q1354" i="3"/>
  <c r="R1354" i="3"/>
  <c r="N1355" i="3"/>
  <c r="O1355" i="3"/>
  <c r="P1355" i="3"/>
  <c r="Q1355" i="3"/>
  <c r="R1355" i="3"/>
  <c r="N1356" i="3"/>
  <c r="O1356" i="3"/>
  <c r="P1356" i="3"/>
  <c r="Q1356" i="3"/>
  <c r="R1356" i="3"/>
  <c r="N1357" i="3"/>
  <c r="O1357" i="3"/>
  <c r="P1357" i="3"/>
  <c r="Q1357" i="3"/>
  <c r="R1357" i="3"/>
  <c r="N1358" i="3"/>
  <c r="O1358" i="3"/>
  <c r="P1358" i="3"/>
  <c r="Q1358" i="3"/>
  <c r="R1358" i="3"/>
  <c r="N1359" i="3"/>
  <c r="O1359" i="3"/>
  <c r="P1359" i="3"/>
  <c r="Q1359" i="3"/>
  <c r="R1359" i="3"/>
  <c r="N1360" i="3"/>
  <c r="O1360" i="3"/>
  <c r="P1360" i="3"/>
  <c r="Q1360" i="3"/>
  <c r="R1360" i="3"/>
  <c r="N1361" i="3"/>
  <c r="O1361" i="3"/>
  <c r="P1361" i="3"/>
  <c r="Q1361" i="3"/>
  <c r="R1361" i="3"/>
  <c r="N1362" i="3"/>
  <c r="O1362" i="3"/>
  <c r="P1362" i="3"/>
  <c r="Q1362" i="3"/>
  <c r="R1362" i="3"/>
  <c r="N1363" i="3"/>
  <c r="O1363" i="3"/>
  <c r="P1363" i="3"/>
  <c r="Q1363" i="3"/>
  <c r="R1363" i="3"/>
  <c r="N1364" i="3"/>
  <c r="O1364" i="3"/>
  <c r="P1364" i="3"/>
  <c r="Q1364" i="3"/>
  <c r="R1364" i="3"/>
  <c r="N1365" i="3"/>
  <c r="O1365" i="3"/>
  <c r="P1365" i="3"/>
  <c r="Q1365" i="3"/>
  <c r="R1365" i="3"/>
  <c r="N1366" i="3"/>
  <c r="O1366" i="3"/>
  <c r="P1366" i="3"/>
  <c r="Q1366" i="3"/>
  <c r="R1366" i="3"/>
  <c r="N1367" i="3"/>
  <c r="O1367" i="3"/>
  <c r="P1367" i="3"/>
  <c r="Q1367" i="3"/>
  <c r="R1367" i="3"/>
  <c r="N1368" i="3"/>
  <c r="O1368" i="3"/>
  <c r="P1368" i="3"/>
  <c r="Q1368" i="3"/>
  <c r="R1368" i="3"/>
  <c r="N1369" i="3"/>
  <c r="O1369" i="3"/>
  <c r="P1369" i="3"/>
  <c r="Q1369" i="3"/>
  <c r="R1369" i="3"/>
  <c r="N1370" i="3"/>
  <c r="O1370" i="3"/>
  <c r="P1370" i="3"/>
  <c r="Q1370" i="3"/>
  <c r="R1370" i="3"/>
  <c r="N1371" i="3"/>
  <c r="O1371" i="3"/>
  <c r="P1371" i="3"/>
  <c r="Q1371" i="3"/>
  <c r="R1371" i="3"/>
  <c r="N1372" i="3"/>
  <c r="O1372" i="3"/>
  <c r="P1372" i="3"/>
  <c r="Q1372" i="3"/>
  <c r="R1372" i="3"/>
  <c r="N1373" i="3"/>
  <c r="O1373" i="3"/>
  <c r="P1373" i="3"/>
  <c r="Q1373" i="3"/>
  <c r="R1373" i="3"/>
  <c r="N1374" i="3"/>
  <c r="O1374" i="3"/>
  <c r="P1374" i="3"/>
  <c r="Q1374" i="3"/>
  <c r="R1374" i="3"/>
  <c r="N1375" i="3"/>
  <c r="O1375" i="3"/>
  <c r="P1375" i="3"/>
  <c r="Q1375" i="3"/>
  <c r="R1375" i="3"/>
  <c r="N1376" i="3"/>
  <c r="O1376" i="3"/>
  <c r="P1376" i="3"/>
  <c r="Q1376" i="3"/>
  <c r="R1376" i="3"/>
  <c r="N1377" i="3"/>
  <c r="O1377" i="3"/>
  <c r="P1377" i="3"/>
  <c r="Q1377" i="3"/>
  <c r="R1377" i="3"/>
  <c r="N1378" i="3"/>
  <c r="O1378" i="3"/>
  <c r="P1378" i="3"/>
  <c r="Q1378" i="3"/>
  <c r="R1378" i="3"/>
  <c r="N1379" i="3"/>
  <c r="O1379" i="3"/>
  <c r="P1379" i="3"/>
  <c r="Q1379" i="3"/>
  <c r="R1379" i="3"/>
  <c r="N1380" i="3"/>
  <c r="O1380" i="3"/>
  <c r="P1380" i="3"/>
  <c r="Q1380" i="3"/>
  <c r="R1380" i="3"/>
  <c r="N1381" i="3"/>
  <c r="O1381" i="3"/>
  <c r="P1381" i="3"/>
  <c r="Q1381" i="3"/>
  <c r="R1381" i="3"/>
  <c r="N1382" i="3"/>
  <c r="O1382" i="3"/>
  <c r="P1382" i="3"/>
  <c r="Q1382" i="3"/>
  <c r="R1382" i="3"/>
  <c r="N1383" i="3"/>
  <c r="O1383" i="3"/>
  <c r="P1383" i="3"/>
  <c r="Q1383" i="3"/>
  <c r="R1383" i="3"/>
  <c r="N1384" i="3"/>
  <c r="O1384" i="3"/>
  <c r="P1384" i="3"/>
  <c r="Q1384" i="3"/>
  <c r="R1384" i="3"/>
  <c r="N1385" i="3"/>
  <c r="O1385" i="3"/>
  <c r="P1385" i="3"/>
  <c r="Q1385" i="3"/>
  <c r="R1385" i="3"/>
  <c r="N1386" i="3"/>
  <c r="O1386" i="3"/>
  <c r="P1386" i="3"/>
  <c r="Q1386" i="3"/>
  <c r="R1386" i="3"/>
  <c r="N1387" i="3"/>
  <c r="O1387" i="3"/>
  <c r="P1387" i="3"/>
  <c r="Q1387" i="3"/>
  <c r="R1387" i="3"/>
  <c r="N1388" i="3"/>
  <c r="O1388" i="3"/>
  <c r="P1388" i="3"/>
  <c r="Q1388" i="3"/>
  <c r="R1388" i="3"/>
  <c r="N1389" i="3"/>
  <c r="O1389" i="3"/>
  <c r="P1389" i="3"/>
  <c r="Q1389" i="3"/>
  <c r="R1389" i="3"/>
  <c r="N1390" i="3"/>
  <c r="O1390" i="3"/>
  <c r="P1390" i="3"/>
  <c r="Q1390" i="3"/>
  <c r="R1390" i="3"/>
  <c r="N1391" i="3"/>
  <c r="O1391" i="3"/>
  <c r="P1391" i="3"/>
  <c r="Q1391" i="3"/>
  <c r="R1391" i="3"/>
  <c r="N1392" i="3"/>
  <c r="O1392" i="3"/>
  <c r="P1392" i="3"/>
  <c r="Q1392" i="3"/>
  <c r="R1392" i="3"/>
  <c r="N1393" i="3"/>
  <c r="O1393" i="3"/>
  <c r="P1393" i="3"/>
  <c r="Q1393" i="3"/>
  <c r="R1393" i="3"/>
  <c r="N1394" i="3"/>
  <c r="O1394" i="3"/>
  <c r="P1394" i="3"/>
  <c r="Q1394" i="3"/>
  <c r="R1394" i="3"/>
  <c r="N1395" i="3"/>
  <c r="O1395" i="3"/>
  <c r="P1395" i="3"/>
  <c r="Q1395" i="3"/>
  <c r="R1395" i="3"/>
  <c r="N1396" i="3"/>
  <c r="O1396" i="3"/>
  <c r="P1396" i="3"/>
  <c r="Q1396" i="3"/>
  <c r="R1396" i="3"/>
  <c r="N1397" i="3"/>
  <c r="O1397" i="3"/>
  <c r="P1397" i="3"/>
  <c r="Q1397" i="3"/>
  <c r="R1397" i="3"/>
  <c r="N1398" i="3"/>
  <c r="O1398" i="3"/>
  <c r="P1398" i="3"/>
  <c r="Q1398" i="3"/>
  <c r="R1398" i="3"/>
  <c r="N1399" i="3"/>
  <c r="O1399" i="3"/>
  <c r="P1399" i="3"/>
  <c r="Q1399" i="3"/>
  <c r="R1399" i="3"/>
  <c r="N1400" i="3"/>
  <c r="O1400" i="3"/>
  <c r="P1400" i="3"/>
  <c r="Q1400" i="3"/>
  <c r="R1400" i="3"/>
  <c r="N1401" i="3"/>
  <c r="O1401" i="3"/>
  <c r="P1401" i="3"/>
  <c r="Q1401" i="3"/>
  <c r="R1401" i="3"/>
  <c r="N1402" i="3"/>
  <c r="O1402" i="3"/>
  <c r="P1402" i="3"/>
  <c r="Q1402" i="3"/>
  <c r="R1402" i="3"/>
  <c r="N1403" i="3"/>
  <c r="O1403" i="3"/>
  <c r="P1403" i="3"/>
  <c r="Q1403" i="3"/>
  <c r="R1403" i="3"/>
  <c r="N1404" i="3"/>
  <c r="O1404" i="3"/>
  <c r="P1404" i="3"/>
  <c r="Q1404" i="3"/>
  <c r="R1404" i="3"/>
  <c r="N1405" i="3"/>
  <c r="O1405" i="3"/>
  <c r="P1405" i="3"/>
  <c r="Q1405" i="3"/>
  <c r="R1405" i="3"/>
  <c r="N1406" i="3"/>
  <c r="O1406" i="3"/>
  <c r="P1406" i="3"/>
  <c r="Q1406" i="3"/>
  <c r="R1406" i="3"/>
  <c r="N1407" i="3"/>
  <c r="O1407" i="3"/>
  <c r="P1407" i="3"/>
  <c r="Q1407" i="3"/>
  <c r="R1407" i="3"/>
  <c r="N1408" i="3"/>
  <c r="O1408" i="3"/>
  <c r="P1408" i="3"/>
  <c r="Q1408" i="3"/>
  <c r="R1408" i="3"/>
  <c r="N1409" i="3"/>
  <c r="O1409" i="3"/>
  <c r="P1409" i="3"/>
  <c r="Q1409" i="3"/>
  <c r="R1409" i="3"/>
  <c r="N1410" i="3"/>
  <c r="O1410" i="3"/>
  <c r="P1410" i="3"/>
  <c r="Q1410" i="3"/>
  <c r="R1410" i="3"/>
  <c r="N1411" i="3"/>
  <c r="O1411" i="3"/>
  <c r="P1411" i="3"/>
  <c r="Q1411" i="3"/>
  <c r="R1411" i="3"/>
  <c r="N1412" i="3"/>
  <c r="O1412" i="3"/>
  <c r="P1412" i="3"/>
  <c r="Q1412" i="3"/>
  <c r="R1412" i="3"/>
  <c r="N1413" i="3"/>
  <c r="O1413" i="3"/>
  <c r="P1413" i="3"/>
  <c r="Q1413" i="3"/>
  <c r="R1413" i="3"/>
  <c r="N1414" i="3"/>
  <c r="O1414" i="3"/>
  <c r="P1414" i="3"/>
  <c r="Q1414" i="3"/>
  <c r="R1414" i="3"/>
  <c r="N1415" i="3"/>
  <c r="O1415" i="3"/>
  <c r="P1415" i="3"/>
  <c r="Q1415" i="3"/>
  <c r="R1415" i="3"/>
  <c r="N1416" i="3"/>
  <c r="O1416" i="3"/>
  <c r="P1416" i="3"/>
  <c r="Q1416" i="3"/>
  <c r="R1416" i="3"/>
  <c r="N1417" i="3"/>
  <c r="O1417" i="3"/>
  <c r="P1417" i="3"/>
  <c r="Q1417" i="3"/>
  <c r="R1417" i="3"/>
  <c r="N1418" i="3"/>
  <c r="O1418" i="3"/>
  <c r="P1418" i="3"/>
  <c r="Q1418" i="3"/>
  <c r="R1418" i="3"/>
  <c r="N1419" i="3"/>
  <c r="O1419" i="3"/>
  <c r="P1419" i="3"/>
  <c r="Q1419" i="3"/>
  <c r="R1419" i="3"/>
  <c r="N1420" i="3"/>
  <c r="O1420" i="3"/>
  <c r="P1420" i="3"/>
  <c r="Q1420" i="3"/>
  <c r="R1420" i="3"/>
  <c r="N1421" i="3"/>
  <c r="O1421" i="3"/>
  <c r="P1421" i="3"/>
  <c r="Q1421" i="3"/>
  <c r="R1421" i="3"/>
  <c r="N1422" i="3"/>
  <c r="O1422" i="3"/>
  <c r="P1422" i="3"/>
  <c r="Q1422" i="3"/>
  <c r="R1422" i="3"/>
  <c r="N1423" i="3"/>
  <c r="O1423" i="3"/>
  <c r="P1423" i="3"/>
  <c r="Q1423" i="3"/>
  <c r="R1423" i="3"/>
  <c r="N1424" i="3"/>
  <c r="O1424" i="3"/>
  <c r="P1424" i="3"/>
  <c r="Q1424" i="3"/>
  <c r="R1424" i="3"/>
  <c r="N1425" i="3"/>
  <c r="O1425" i="3"/>
  <c r="P1425" i="3"/>
  <c r="Q1425" i="3"/>
  <c r="R1425" i="3"/>
  <c r="N1426" i="3"/>
  <c r="O1426" i="3"/>
  <c r="P1426" i="3"/>
  <c r="Q1426" i="3"/>
  <c r="R1426" i="3"/>
  <c r="N1427" i="3"/>
  <c r="O1427" i="3"/>
  <c r="P1427" i="3"/>
  <c r="Q1427" i="3"/>
  <c r="R1427" i="3"/>
  <c r="N1428" i="3"/>
  <c r="O1428" i="3"/>
  <c r="P1428" i="3"/>
  <c r="Q1428" i="3"/>
  <c r="R1428" i="3"/>
  <c r="N1429" i="3"/>
  <c r="O1429" i="3"/>
  <c r="P1429" i="3"/>
  <c r="Q1429" i="3"/>
  <c r="R1429" i="3"/>
  <c r="N1430" i="3"/>
  <c r="O1430" i="3"/>
  <c r="P1430" i="3"/>
  <c r="Q1430" i="3"/>
  <c r="R1430" i="3"/>
  <c r="N1431" i="3"/>
  <c r="O1431" i="3"/>
  <c r="P1431" i="3"/>
  <c r="Q1431" i="3"/>
  <c r="R1431" i="3"/>
  <c r="N1432" i="3"/>
  <c r="O1432" i="3"/>
  <c r="P1432" i="3"/>
  <c r="Q1432" i="3"/>
  <c r="R1432" i="3"/>
  <c r="N1433" i="3"/>
  <c r="O1433" i="3"/>
  <c r="P1433" i="3"/>
  <c r="Q1433" i="3"/>
  <c r="R1433" i="3"/>
  <c r="N1434" i="3"/>
  <c r="O1434" i="3"/>
  <c r="P1434" i="3"/>
  <c r="Q1434" i="3"/>
  <c r="R1434" i="3"/>
  <c r="N1435" i="3"/>
  <c r="O1435" i="3"/>
  <c r="P1435" i="3"/>
  <c r="Q1435" i="3"/>
  <c r="R1435" i="3"/>
  <c r="N1436" i="3"/>
  <c r="O1436" i="3"/>
  <c r="P1436" i="3"/>
  <c r="Q1436" i="3"/>
  <c r="R1436" i="3"/>
  <c r="N1437" i="3"/>
  <c r="O1437" i="3"/>
  <c r="P1437" i="3"/>
  <c r="Q1437" i="3"/>
  <c r="R1437" i="3"/>
  <c r="N1438" i="3"/>
  <c r="O1438" i="3"/>
  <c r="P1438" i="3"/>
  <c r="Q1438" i="3"/>
  <c r="R1438" i="3"/>
  <c r="N1439" i="3"/>
  <c r="O1439" i="3"/>
  <c r="P1439" i="3"/>
  <c r="Q1439" i="3"/>
  <c r="R1439" i="3"/>
  <c r="N1440" i="3"/>
  <c r="O1440" i="3"/>
  <c r="P1440" i="3"/>
  <c r="Q1440" i="3"/>
  <c r="R1440" i="3"/>
  <c r="N1441" i="3"/>
  <c r="O1441" i="3"/>
  <c r="P1441" i="3"/>
  <c r="Q1441" i="3"/>
  <c r="R1441" i="3"/>
  <c r="N1442" i="3"/>
  <c r="O1442" i="3"/>
  <c r="P1442" i="3"/>
  <c r="Q1442" i="3"/>
  <c r="R1442" i="3"/>
  <c r="N1443" i="3"/>
  <c r="O1443" i="3"/>
  <c r="P1443" i="3"/>
  <c r="Q1443" i="3"/>
  <c r="R1443" i="3"/>
  <c r="N1444" i="3"/>
  <c r="O1444" i="3"/>
  <c r="P1444" i="3"/>
  <c r="Q1444" i="3"/>
  <c r="R1444" i="3"/>
  <c r="N1445" i="3"/>
  <c r="O1445" i="3"/>
  <c r="P1445" i="3"/>
  <c r="Q1445" i="3"/>
  <c r="R1445" i="3"/>
  <c r="N1446" i="3"/>
  <c r="O1446" i="3"/>
  <c r="P1446" i="3"/>
  <c r="Q1446" i="3"/>
  <c r="R1446" i="3"/>
  <c r="N1447" i="3"/>
  <c r="O1447" i="3"/>
  <c r="P1447" i="3"/>
  <c r="Q1447" i="3"/>
  <c r="R1447" i="3"/>
  <c r="N1448" i="3"/>
  <c r="O1448" i="3"/>
  <c r="P1448" i="3"/>
  <c r="Q1448" i="3"/>
  <c r="R1448" i="3"/>
  <c r="N1449" i="3"/>
  <c r="O1449" i="3"/>
  <c r="P1449" i="3"/>
  <c r="Q1449" i="3"/>
  <c r="R1449" i="3"/>
  <c r="N1450" i="3"/>
  <c r="O1450" i="3"/>
  <c r="P1450" i="3"/>
  <c r="Q1450" i="3"/>
  <c r="R1450" i="3"/>
  <c r="N1451" i="3"/>
  <c r="O1451" i="3"/>
  <c r="P1451" i="3"/>
  <c r="Q1451" i="3"/>
  <c r="R1451" i="3"/>
  <c r="N1452" i="3"/>
  <c r="O1452" i="3"/>
  <c r="P1452" i="3"/>
  <c r="Q1452" i="3"/>
  <c r="R1452" i="3"/>
  <c r="N1453" i="3"/>
  <c r="O1453" i="3"/>
  <c r="P1453" i="3"/>
  <c r="Q1453" i="3"/>
  <c r="R1453" i="3"/>
  <c r="N1454" i="3"/>
  <c r="O1454" i="3"/>
  <c r="P1454" i="3"/>
  <c r="Q1454" i="3"/>
  <c r="R1454" i="3"/>
  <c r="N1455" i="3"/>
  <c r="O1455" i="3"/>
  <c r="P1455" i="3"/>
  <c r="Q1455" i="3"/>
  <c r="R1455" i="3"/>
  <c r="N1456" i="3"/>
  <c r="O1456" i="3"/>
  <c r="P1456" i="3"/>
  <c r="Q1456" i="3"/>
  <c r="R1456" i="3"/>
  <c r="N1457" i="3"/>
  <c r="O1457" i="3"/>
  <c r="P1457" i="3"/>
  <c r="Q1457" i="3"/>
  <c r="R1457" i="3"/>
  <c r="N1458" i="3"/>
  <c r="O1458" i="3"/>
  <c r="P1458" i="3"/>
  <c r="Q1458" i="3"/>
  <c r="R1458" i="3"/>
  <c r="N1459" i="3"/>
  <c r="O1459" i="3"/>
  <c r="P1459" i="3"/>
  <c r="Q1459" i="3"/>
  <c r="R1459" i="3"/>
  <c r="N1460" i="3"/>
  <c r="O1460" i="3"/>
  <c r="P1460" i="3"/>
  <c r="Q1460" i="3"/>
  <c r="R1460" i="3"/>
  <c r="N1461" i="3"/>
  <c r="O1461" i="3"/>
  <c r="P1461" i="3"/>
  <c r="Q1461" i="3"/>
  <c r="R1461" i="3"/>
  <c r="N1462" i="3"/>
  <c r="O1462" i="3"/>
  <c r="P1462" i="3"/>
  <c r="Q1462" i="3"/>
  <c r="R1462" i="3"/>
  <c r="N1463" i="3"/>
  <c r="O1463" i="3"/>
  <c r="P1463" i="3"/>
  <c r="Q1463" i="3"/>
  <c r="R1463" i="3"/>
  <c r="N1464" i="3"/>
  <c r="O1464" i="3"/>
  <c r="P1464" i="3"/>
  <c r="Q1464" i="3"/>
  <c r="R1464" i="3"/>
  <c r="N1465" i="3"/>
  <c r="O1465" i="3"/>
  <c r="P1465" i="3"/>
  <c r="Q1465" i="3"/>
  <c r="R1465" i="3"/>
  <c r="N1466" i="3"/>
  <c r="O1466" i="3"/>
  <c r="P1466" i="3"/>
  <c r="Q1466" i="3"/>
  <c r="R1466" i="3"/>
  <c r="N1467" i="3"/>
  <c r="O1467" i="3"/>
  <c r="P1467" i="3"/>
  <c r="Q1467" i="3"/>
  <c r="R1467" i="3"/>
  <c r="N1468" i="3"/>
  <c r="O1468" i="3"/>
  <c r="P1468" i="3"/>
  <c r="Q1468" i="3"/>
  <c r="R1468" i="3"/>
  <c r="N1469" i="3"/>
  <c r="O1469" i="3"/>
  <c r="P1469" i="3"/>
  <c r="Q1469" i="3"/>
  <c r="R1469" i="3"/>
  <c r="N1470" i="3"/>
  <c r="O1470" i="3"/>
  <c r="P1470" i="3"/>
  <c r="Q1470" i="3"/>
  <c r="R1470" i="3"/>
  <c r="N1471" i="3"/>
  <c r="O1471" i="3"/>
  <c r="P1471" i="3"/>
  <c r="Q1471" i="3"/>
  <c r="R1471" i="3"/>
  <c r="N1472" i="3"/>
  <c r="O1472" i="3"/>
  <c r="P1472" i="3"/>
  <c r="Q1472" i="3"/>
  <c r="R1472" i="3"/>
  <c r="N1473" i="3"/>
  <c r="O1473" i="3"/>
  <c r="P1473" i="3"/>
  <c r="Q1473" i="3"/>
  <c r="R1473" i="3"/>
  <c r="N1474" i="3"/>
  <c r="O1474" i="3"/>
  <c r="P1474" i="3"/>
  <c r="Q1474" i="3"/>
  <c r="R1474" i="3"/>
  <c r="N1475" i="3"/>
  <c r="O1475" i="3"/>
  <c r="P1475" i="3"/>
  <c r="Q1475" i="3"/>
  <c r="R1475" i="3"/>
  <c r="N1476" i="3"/>
  <c r="O1476" i="3"/>
  <c r="P1476" i="3"/>
  <c r="Q1476" i="3"/>
  <c r="R1476" i="3"/>
  <c r="N1477" i="3"/>
  <c r="O1477" i="3"/>
  <c r="P1477" i="3"/>
  <c r="Q1477" i="3"/>
  <c r="R1477" i="3"/>
  <c r="N1478" i="3"/>
  <c r="O1478" i="3"/>
  <c r="P1478" i="3"/>
  <c r="Q1478" i="3"/>
  <c r="R1478" i="3"/>
  <c r="N1479" i="3"/>
  <c r="O1479" i="3"/>
  <c r="P1479" i="3"/>
  <c r="Q1479" i="3"/>
  <c r="R1479" i="3"/>
  <c r="N1480" i="3"/>
  <c r="O1480" i="3"/>
  <c r="P1480" i="3"/>
  <c r="Q1480" i="3"/>
  <c r="R1480" i="3"/>
  <c r="N1481" i="3"/>
  <c r="O1481" i="3"/>
  <c r="P1481" i="3"/>
  <c r="Q1481" i="3"/>
  <c r="R1481" i="3"/>
  <c r="N1482" i="3"/>
  <c r="O1482" i="3"/>
  <c r="P1482" i="3"/>
  <c r="Q1482" i="3"/>
  <c r="R1482" i="3"/>
  <c r="N1483" i="3"/>
  <c r="O1483" i="3"/>
  <c r="P1483" i="3"/>
  <c r="Q1483" i="3"/>
  <c r="R1483" i="3"/>
  <c r="N1484" i="3"/>
  <c r="O1484" i="3"/>
  <c r="P1484" i="3"/>
  <c r="Q1484" i="3"/>
  <c r="R1484" i="3"/>
  <c r="N1485" i="3"/>
  <c r="O1485" i="3"/>
  <c r="P1485" i="3"/>
  <c r="Q1485" i="3"/>
  <c r="R1485" i="3"/>
  <c r="N1486" i="3"/>
  <c r="O1486" i="3"/>
  <c r="P1486" i="3"/>
  <c r="Q1486" i="3"/>
  <c r="R1486" i="3"/>
  <c r="N1487" i="3"/>
  <c r="O1487" i="3"/>
  <c r="P1487" i="3"/>
  <c r="Q1487" i="3"/>
  <c r="R1487" i="3"/>
  <c r="N1488" i="3"/>
  <c r="O1488" i="3"/>
  <c r="P1488" i="3"/>
  <c r="Q1488" i="3"/>
  <c r="R1488" i="3"/>
  <c r="N1489" i="3"/>
  <c r="O1489" i="3"/>
  <c r="P1489" i="3"/>
  <c r="Q1489" i="3"/>
  <c r="R1489" i="3"/>
  <c r="N1490" i="3"/>
  <c r="O1490" i="3"/>
  <c r="P1490" i="3"/>
  <c r="Q1490" i="3"/>
  <c r="R1490" i="3"/>
  <c r="N1491" i="3"/>
  <c r="O1491" i="3"/>
  <c r="P1491" i="3"/>
  <c r="Q1491" i="3"/>
  <c r="R1491" i="3"/>
  <c r="N1492" i="3"/>
  <c r="O1492" i="3"/>
  <c r="P1492" i="3"/>
  <c r="Q1492" i="3"/>
  <c r="R1492" i="3"/>
  <c r="N1493" i="3"/>
  <c r="O1493" i="3"/>
  <c r="P1493" i="3"/>
  <c r="Q1493" i="3"/>
  <c r="R1493" i="3"/>
  <c r="N1494" i="3"/>
  <c r="O1494" i="3"/>
  <c r="P1494" i="3"/>
  <c r="Q1494" i="3"/>
  <c r="R1494" i="3"/>
  <c r="N1495" i="3"/>
  <c r="O1495" i="3"/>
  <c r="P1495" i="3"/>
  <c r="Q1495" i="3"/>
  <c r="R1495" i="3"/>
  <c r="N1496" i="3"/>
  <c r="O1496" i="3"/>
  <c r="P1496" i="3"/>
  <c r="Q1496" i="3"/>
  <c r="R1496" i="3"/>
  <c r="N1497" i="3"/>
  <c r="O1497" i="3"/>
  <c r="P1497" i="3"/>
  <c r="Q1497" i="3"/>
  <c r="R1497" i="3"/>
  <c r="N1498" i="3"/>
  <c r="O1498" i="3"/>
  <c r="P1498" i="3"/>
  <c r="Q1498" i="3"/>
  <c r="R1498" i="3"/>
  <c r="N1499" i="3"/>
  <c r="O1499" i="3"/>
  <c r="P1499" i="3"/>
  <c r="Q1499" i="3"/>
  <c r="R1499" i="3"/>
  <c r="N1500" i="3"/>
  <c r="O1500" i="3"/>
  <c r="P1500" i="3"/>
  <c r="Q1500" i="3"/>
  <c r="R1500" i="3"/>
  <c r="D582" i="3"/>
  <c r="D584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N484" i="3"/>
  <c r="O484" i="3"/>
  <c r="P484" i="3"/>
  <c r="Q484" i="3"/>
  <c r="R484" i="3"/>
  <c r="N485" i="3"/>
  <c r="O485" i="3"/>
  <c r="P485" i="3"/>
  <c r="Q485" i="3"/>
  <c r="R485" i="3"/>
  <c r="N486" i="3"/>
  <c r="O486" i="3"/>
  <c r="P486" i="3"/>
  <c r="Q486" i="3"/>
  <c r="R486" i="3"/>
  <c r="N487" i="3"/>
  <c r="O487" i="3"/>
  <c r="P487" i="3"/>
  <c r="Q487" i="3"/>
  <c r="R487" i="3"/>
  <c r="N488" i="3"/>
  <c r="O488" i="3"/>
  <c r="P488" i="3"/>
  <c r="Q488" i="3"/>
  <c r="R488" i="3"/>
  <c r="N489" i="3"/>
  <c r="O489" i="3"/>
  <c r="P489" i="3"/>
  <c r="Q489" i="3"/>
  <c r="R489" i="3"/>
  <c r="N490" i="3"/>
  <c r="O490" i="3"/>
  <c r="P490" i="3"/>
  <c r="Q490" i="3"/>
  <c r="R490" i="3"/>
  <c r="N491" i="3"/>
  <c r="O491" i="3"/>
  <c r="P491" i="3"/>
  <c r="Q491" i="3"/>
  <c r="R491" i="3"/>
  <c r="N492" i="3"/>
  <c r="O492" i="3"/>
  <c r="P492" i="3"/>
  <c r="Q492" i="3"/>
  <c r="R492" i="3"/>
  <c r="N493" i="3"/>
  <c r="O493" i="3"/>
  <c r="P493" i="3"/>
  <c r="Q493" i="3"/>
  <c r="R493" i="3"/>
  <c r="N494" i="3"/>
  <c r="O494" i="3"/>
  <c r="P494" i="3"/>
  <c r="Q494" i="3"/>
  <c r="R494" i="3"/>
  <c r="N495" i="3"/>
  <c r="O495" i="3"/>
  <c r="P495" i="3"/>
  <c r="Q495" i="3"/>
  <c r="R495" i="3"/>
  <c r="N496" i="3"/>
  <c r="O496" i="3"/>
  <c r="P496" i="3"/>
  <c r="Q496" i="3"/>
  <c r="R496" i="3"/>
  <c r="C484" i="3"/>
  <c r="D484" i="3" s="1"/>
  <c r="E484" i="3" s="1"/>
  <c r="C485" i="3"/>
  <c r="D485" i="3" s="1"/>
  <c r="E485" i="3" s="1"/>
  <c r="C486" i="3"/>
  <c r="D486" i="3" s="1"/>
  <c r="E486" i="3" s="1"/>
  <c r="C487" i="3"/>
  <c r="D487" i="3" s="1"/>
  <c r="E487" i="3" s="1"/>
  <c r="C488" i="3"/>
  <c r="D488" i="3" s="1"/>
  <c r="E488" i="3" s="1"/>
  <c r="C489" i="3"/>
  <c r="D489" i="3" s="1"/>
  <c r="E489" i="3" s="1"/>
  <c r="C490" i="3"/>
  <c r="D490" i="3" s="1"/>
  <c r="E490" i="3" s="1"/>
  <c r="C491" i="3"/>
  <c r="D491" i="3" s="1"/>
  <c r="E491" i="3" s="1"/>
  <c r="C492" i="3"/>
  <c r="D492" i="3" s="1"/>
  <c r="E492" i="3" s="1"/>
  <c r="C493" i="3"/>
  <c r="D493" i="3" s="1"/>
  <c r="E493" i="3" s="1"/>
  <c r="C494" i="3"/>
  <c r="D494" i="3" s="1"/>
  <c r="E494" i="3" s="1"/>
  <c r="C495" i="3"/>
  <c r="D495" i="3" s="1"/>
  <c r="E495" i="3" s="1"/>
  <c r="C496" i="3"/>
  <c r="D496" i="3" s="1"/>
  <c r="E496" i="3" s="1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H8" i="3"/>
  <c r="H7" i="3"/>
  <c r="H3" i="3"/>
  <c r="C1319" i="3"/>
  <c r="E1319" i="3" s="1"/>
  <c r="C1320" i="3"/>
  <c r="E1320" i="3"/>
  <c r="C1321" i="3"/>
  <c r="E1321" i="3" s="1"/>
  <c r="C1322" i="3"/>
  <c r="E1322" i="3" s="1"/>
  <c r="C1323" i="3"/>
  <c r="E1323" i="3"/>
  <c r="C1324" i="3"/>
  <c r="E1324" i="3"/>
  <c r="C1325" i="3"/>
  <c r="E1325" i="3" s="1"/>
  <c r="C1326" i="3"/>
  <c r="E1326" i="3" s="1"/>
  <c r="C1327" i="3"/>
  <c r="E1327" i="3" s="1"/>
  <c r="C1328" i="3"/>
  <c r="E1328" i="3" s="1"/>
  <c r="C1329" i="3"/>
  <c r="E1329" i="3" s="1"/>
  <c r="C1330" i="3"/>
  <c r="E1330" i="3" s="1"/>
  <c r="C1331" i="3"/>
  <c r="E1331" i="3" s="1"/>
  <c r="C1332" i="3"/>
  <c r="E1332" i="3" s="1"/>
  <c r="C1333" i="3"/>
  <c r="E1333" i="3"/>
  <c r="C1334" i="3"/>
  <c r="E1334" i="3" s="1"/>
  <c r="C1335" i="3"/>
  <c r="E1335" i="3"/>
  <c r="C1336" i="3"/>
  <c r="E1336" i="3" s="1"/>
  <c r="C1337" i="3"/>
  <c r="E1337" i="3" s="1"/>
  <c r="C1338" i="3"/>
  <c r="E1338" i="3" s="1"/>
  <c r="C1339" i="3"/>
  <c r="E1339" i="3" s="1"/>
  <c r="C1340" i="3"/>
  <c r="E1340" i="3"/>
  <c r="C1341" i="3"/>
  <c r="E1341" i="3" s="1"/>
  <c r="C1342" i="3"/>
  <c r="E1342" i="3" s="1"/>
  <c r="C1343" i="3"/>
  <c r="E1343" i="3"/>
  <c r="C1344" i="3"/>
  <c r="E1344" i="3" s="1"/>
  <c r="C1345" i="3"/>
  <c r="E1345" i="3" s="1"/>
  <c r="C1346" i="3"/>
  <c r="E1346" i="3" s="1"/>
  <c r="C1347" i="3"/>
  <c r="E1347" i="3" s="1"/>
  <c r="C1348" i="3"/>
  <c r="E1348" i="3" s="1"/>
  <c r="C1349" i="3"/>
  <c r="E1349" i="3" s="1"/>
  <c r="C1350" i="3"/>
  <c r="E1350" i="3"/>
  <c r="C1351" i="3"/>
  <c r="E1351" i="3" s="1"/>
  <c r="C1352" i="3"/>
  <c r="E1352" i="3" s="1"/>
  <c r="C1353" i="3"/>
  <c r="E1353" i="3" s="1"/>
  <c r="C1354" i="3"/>
  <c r="E1354" i="3" s="1"/>
  <c r="C1355" i="3"/>
  <c r="E1355" i="3" s="1"/>
  <c r="C1356" i="3"/>
  <c r="E1356" i="3" s="1"/>
  <c r="C1357" i="3"/>
  <c r="E1357" i="3" s="1"/>
  <c r="C1358" i="3"/>
  <c r="E1358" i="3" s="1"/>
  <c r="C1359" i="3"/>
  <c r="E1359" i="3" s="1"/>
  <c r="C1360" i="3"/>
  <c r="E1360" i="3" s="1"/>
  <c r="C1361" i="3"/>
  <c r="E1361" i="3" s="1"/>
  <c r="C1362" i="3"/>
  <c r="E1362" i="3" s="1"/>
  <c r="C1363" i="3"/>
  <c r="E1363" i="3" s="1"/>
  <c r="C1364" i="3"/>
  <c r="E1364" i="3" s="1"/>
  <c r="C1365" i="3"/>
  <c r="E1365" i="3" s="1"/>
  <c r="C1366" i="3"/>
  <c r="E1366" i="3" s="1"/>
  <c r="C1367" i="3"/>
  <c r="E1367" i="3" s="1"/>
  <c r="C1368" i="3"/>
  <c r="E1368" i="3" s="1"/>
  <c r="C1369" i="3"/>
  <c r="E1369" i="3" s="1"/>
  <c r="C1370" i="3"/>
  <c r="E1370" i="3" s="1"/>
  <c r="C1371" i="3"/>
  <c r="E1371" i="3" s="1"/>
  <c r="C1372" i="3"/>
  <c r="E1372" i="3" s="1"/>
  <c r="C1373" i="3"/>
  <c r="E1373" i="3" s="1"/>
  <c r="C1374" i="3"/>
  <c r="E1374" i="3" s="1"/>
  <c r="C1375" i="3"/>
  <c r="E1375" i="3" s="1"/>
  <c r="C1376" i="3"/>
  <c r="E1376" i="3" s="1"/>
  <c r="C1377" i="3"/>
  <c r="E1377" i="3" s="1"/>
  <c r="C1378" i="3"/>
  <c r="E1378" i="3" s="1"/>
  <c r="C1379" i="3"/>
  <c r="E1379" i="3" s="1"/>
  <c r="C1380" i="3"/>
  <c r="E1380" i="3" s="1"/>
  <c r="C1381" i="3"/>
  <c r="E1381" i="3" s="1"/>
  <c r="C1382" i="3"/>
  <c r="E1382" i="3" s="1"/>
  <c r="C1383" i="3"/>
  <c r="E1383" i="3" s="1"/>
  <c r="C1384" i="3"/>
  <c r="E1384" i="3" s="1"/>
  <c r="C1385" i="3"/>
  <c r="E1385" i="3" s="1"/>
  <c r="C1386" i="3"/>
  <c r="E1386" i="3" s="1"/>
  <c r="C1387" i="3"/>
  <c r="E1387" i="3"/>
  <c r="C1388" i="3"/>
  <c r="E1388" i="3" s="1"/>
  <c r="C1389" i="3"/>
  <c r="E1389" i="3" s="1"/>
  <c r="C1390" i="3"/>
  <c r="E1390" i="3" s="1"/>
  <c r="C1391" i="3"/>
  <c r="E1391" i="3" s="1"/>
  <c r="C1392" i="3"/>
  <c r="E1392" i="3" s="1"/>
  <c r="C1393" i="3"/>
  <c r="E1393" i="3" s="1"/>
  <c r="C1394" i="3"/>
  <c r="E1394" i="3" s="1"/>
  <c r="C1395" i="3"/>
  <c r="E1395" i="3" s="1"/>
  <c r="C1396" i="3"/>
  <c r="E1396" i="3"/>
  <c r="C1397" i="3"/>
  <c r="E1397" i="3" s="1"/>
  <c r="C1398" i="3"/>
  <c r="E1398" i="3"/>
  <c r="C1399" i="3"/>
  <c r="E1399" i="3" s="1"/>
  <c r="C1400" i="3"/>
  <c r="E1400" i="3" s="1"/>
  <c r="C1401" i="3"/>
  <c r="E1401" i="3" s="1"/>
  <c r="C1402" i="3"/>
  <c r="E1402" i="3"/>
  <c r="C1403" i="3"/>
  <c r="E1403" i="3"/>
  <c r="C1404" i="3"/>
  <c r="E1404" i="3"/>
  <c r="C1405" i="3"/>
  <c r="E1405" i="3"/>
  <c r="C1406" i="3"/>
  <c r="E1406" i="3"/>
  <c r="C1407" i="3"/>
  <c r="E1407" i="3"/>
  <c r="C1408" i="3"/>
  <c r="E1408" i="3"/>
  <c r="C1409" i="3"/>
  <c r="E1409" i="3"/>
  <c r="C1410" i="3"/>
  <c r="E1410" i="3"/>
  <c r="C1411" i="3"/>
  <c r="E1411" i="3"/>
  <c r="C1412" i="3"/>
  <c r="E1412" i="3"/>
  <c r="C1413" i="3"/>
  <c r="E1413" i="3"/>
  <c r="C1414" i="3"/>
  <c r="E1414" i="3"/>
  <c r="C1415" i="3"/>
  <c r="E1415" i="3"/>
  <c r="C1416" i="3"/>
  <c r="E1416" i="3"/>
  <c r="C1417" i="3"/>
  <c r="E1417" i="3"/>
  <c r="C1418" i="3"/>
  <c r="E1418" i="3"/>
  <c r="C1419" i="3"/>
  <c r="E1419" i="3"/>
  <c r="C1420" i="3"/>
  <c r="E1420" i="3"/>
  <c r="C1421" i="3"/>
  <c r="E1421" i="3"/>
  <c r="C1422" i="3"/>
  <c r="E1422" i="3"/>
  <c r="C1423" i="3"/>
  <c r="E1423" i="3"/>
  <c r="C1424" i="3"/>
  <c r="E1424" i="3"/>
  <c r="C1425" i="3"/>
  <c r="E1425" i="3"/>
  <c r="C1426" i="3"/>
  <c r="E1426" i="3"/>
  <c r="C1427" i="3"/>
  <c r="E1427" i="3"/>
  <c r="C1428" i="3"/>
  <c r="E1428" i="3"/>
  <c r="C1429" i="3"/>
  <c r="E1429" i="3"/>
  <c r="C1430" i="3"/>
  <c r="E1430" i="3"/>
  <c r="C1431" i="3"/>
  <c r="E1431" i="3"/>
  <c r="C1432" i="3"/>
  <c r="E1432" i="3"/>
  <c r="C1433" i="3"/>
  <c r="E1433" i="3"/>
  <c r="C1434" i="3"/>
  <c r="E1434" i="3"/>
  <c r="C1435" i="3"/>
  <c r="E1435" i="3"/>
  <c r="C1436" i="3"/>
  <c r="E1436" i="3"/>
  <c r="C1437" i="3"/>
  <c r="E1437" i="3"/>
  <c r="C1438" i="3"/>
  <c r="E1438" i="3"/>
  <c r="C1439" i="3"/>
  <c r="E1439" i="3"/>
  <c r="C1440" i="3"/>
  <c r="E1440" i="3"/>
  <c r="C1441" i="3"/>
  <c r="E1441" i="3"/>
  <c r="C1442" i="3"/>
  <c r="E1442" i="3"/>
  <c r="C1443" i="3"/>
  <c r="E1443" i="3"/>
  <c r="C1444" i="3"/>
  <c r="E1444" i="3"/>
  <c r="C1445" i="3"/>
  <c r="E1445" i="3"/>
  <c r="C1446" i="3"/>
  <c r="E1446" i="3"/>
  <c r="C1447" i="3"/>
  <c r="E1447" i="3"/>
  <c r="C1448" i="3"/>
  <c r="E1448" i="3"/>
  <c r="C1449" i="3"/>
  <c r="E1449" i="3"/>
  <c r="C1450" i="3"/>
  <c r="E1450" i="3"/>
  <c r="C1451" i="3"/>
  <c r="E1451" i="3"/>
  <c r="C1452" i="3"/>
  <c r="E1452" i="3"/>
  <c r="C1453" i="3"/>
  <c r="E1453" i="3"/>
  <c r="C1454" i="3"/>
  <c r="E1454" i="3"/>
  <c r="C1455" i="3"/>
  <c r="E1455" i="3"/>
  <c r="C1456" i="3"/>
  <c r="E1456" i="3"/>
  <c r="C1457" i="3"/>
  <c r="E1457" i="3"/>
  <c r="C1458" i="3"/>
  <c r="E1458" i="3"/>
  <c r="C1459" i="3"/>
  <c r="E1459" i="3"/>
  <c r="C1460" i="3"/>
  <c r="E1460" i="3"/>
  <c r="C1461" i="3"/>
  <c r="E1461" i="3"/>
  <c r="C1462" i="3"/>
  <c r="E1462" i="3"/>
  <c r="C1463" i="3"/>
  <c r="E1463" i="3"/>
  <c r="C1464" i="3"/>
  <c r="E1464" i="3"/>
  <c r="C1465" i="3"/>
  <c r="E1465" i="3"/>
  <c r="C1466" i="3"/>
  <c r="E1466" i="3"/>
  <c r="C1467" i="3"/>
  <c r="E1467" i="3"/>
  <c r="C1468" i="3"/>
  <c r="E1468" i="3"/>
  <c r="C1469" i="3"/>
  <c r="E1469" i="3"/>
  <c r="C1470" i="3"/>
  <c r="E1470" i="3"/>
  <c r="C1471" i="3"/>
  <c r="E1471" i="3"/>
  <c r="C1472" i="3"/>
  <c r="E1472" i="3"/>
  <c r="C1473" i="3"/>
  <c r="E1473" i="3"/>
  <c r="C1474" i="3"/>
  <c r="E1474" i="3"/>
  <c r="C1475" i="3"/>
  <c r="E1475" i="3"/>
  <c r="C1476" i="3"/>
  <c r="E1476" i="3"/>
  <c r="C1477" i="3"/>
  <c r="E1477" i="3"/>
  <c r="C1478" i="3"/>
  <c r="E1478" i="3"/>
  <c r="C1479" i="3"/>
  <c r="E1479" i="3"/>
  <c r="C1480" i="3"/>
  <c r="E1480" i="3"/>
  <c r="C1481" i="3"/>
  <c r="E1481" i="3"/>
  <c r="C1482" i="3"/>
  <c r="E1482" i="3"/>
  <c r="C1483" i="3"/>
  <c r="E1483" i="3"/>
  <c r="C1484" i="3"/>
  <c r="E1484" i="3"/>
  <c r="C1485" i="3"/>
  <c r="E1485" i="3"/>
  <c r="C1486" i="3"/>
  <c r="E1486" i="3"/>
  <c r="C1487" i="3"/>
  <c r="E1487" i="3"/>
  <c r="C1488" i="3"/>
  <c r="E1488" i="3"/>
  <c r="C1489" i="3"/>
  <c r="E1489" i="3"/>
  <c r="C1490" i="3"/>
  <c r="E1490" i="3"/>
  <c r="C1491" i="3"/>
  <c r="E1491" i="3"/>
  <c r="C1492" i="3"/>
  <c r="E1492" i="3"/>
  <c r="C1493" i="3"/>
  <c r="E1493" i="3"/>
  <c r="C1494" i="3"/>
  <c r="E1494" i="3"/>
  <c r="C1495" i="3"/>
  <c r="E1495" i="3"/>
  <c r="C1496" i="3"/>
  <c r="E1496" i="3"/>
  <c r="C1497" i="3"/>
  <c r="E1497" i="3"/>
  <c r="C1498" i="3"/>
  <c r="E1498" i="3"/>
  <c r="C1499" i="3"/>
  <c r="E1499" i="3"/>
  <c r="C1500" i="3"/>
  <c r="E1500" i="3"/>
  <c r="H6" i="3"/>
  <c r="C3" i="3"/>
  <c r="D3" i="3" s="1"/>
  <c r="E3" i="3" s="1"/>
  <c r="C4" i="3"/>
  <c r="D4" i="3" s="1"/>
  <c r="E4" i="3" s="1"/>
  <c r="C5" i="3"/>
  <c r="D5" i="3" s="1"/>
  <c r="E5" i="3" s="1"/>
  <c r="C6" i="3"/>
  <c r="D6" i="3" s="1"/>
  <c r="E6" i="3" s="1"/>
  <c r="C7" i="3"/>
  <c r="D7" i="3" s="1"/>
  <c r="E7" i="3" s="1"/>
  <c r="C8" i="3"/>
  <c r="D8" i="3" s="1"/>
  <c r="E8" i="3" s="1"/>
  <c r="C9" i="3"/>
  <c r="D9" i="3" s="1"/>
  <c r="E9" i="3" s="1"/>
  <c r="C10" i="3"/>
  <c r="D10" i="3" s="1"/>
  <c r="E10" i="3" s="1"/>
  <c r="C11" i="3"/>
  <c r="D11" i="3" s="1"/>
  <c r="E11" i="3" s="1"/>
  <c r="C12" i="3"/>
  <c r="D12" i="3" s="1"/>
  <c r="E12" i="3" s="1"/>
  <c r="C13" i="3"/>
  <c r="D13" i="3" s="1"/>
  <c r="E13" i="3" s="1"/>
  <c r="C14" i="3"/>
  <c r="D14" i="3" s="1"/>
  <c r="E14" i="3" s="1"/>
  <c r="C15" i="3"/>
  <c r="D15" i="3" s="1"/>
  <c r="E15" i="3" s="1"/>
  <c r="C16" i="3"/>
  <c r="D16" i="3" s="1"/>
  <c r="E16" i="3" s="1"/>
  <c r="C17" i="3"/>
  <c r="D17" i="3" s="1"/>
  <c r="E17" i="3" s="1"/>
  <c r="C18" i="3"/>
  <c r="D18" i="3" s="1"/>
  <c r="E18" i="3" s="1"/>
  <c r="C19" i="3"/>
  <c r="D19" i="3" s="1"/>
  <c r="E19" i="3" s="1"/>
  <c r="C20" i="3"/>
  <c r="D20" i="3" s="1"/>
  <c r="E20" i="3" s="1"/>
  <c r="C21" i="3"/>
  <c r="D21" i="3" s="1"/>
  <c r="E21" i="3" s="1"/>
  <c r="C22" i="3"/>
  <c r="D22" i="3" s="1"/>
  <c r="E22" i="3" s="1"/>
  <c r="C23" i="3"/>
  <c r="D23" i="3" s="1"/>
  <c r="E23" i="3" s="1"/>
  <c r="C24" i="3"/>
  <c r="D24" i="3" s="1"/>
  <c r="E24" i="3" s="1"/>
  <c r="C25" i="3"/>
  <c r="D25" i="3" s="1"/>
  <c r="E25" i="3" s="1"/>
  <c r="C26" i="3"/>
  <c r="D26" i="3" s="1"/>
  <c r="E26" i="3" s="1"/>
  <c r="C27" i="3"/>
  <c r="D27" i="3" s="1"/>
  <c r="E27" i="3" s="1"/>
  <c r="C28" i="3"/>
  <c r="D28" i="3" s="1"/>
  <c r="E28" i="3" s="1"/>
  <c r="C29" i="3"/>
  <c r="D29" i="3" s="1"/>
  <c r="E29" i="3" s="1"/>
  <c r="C30" i="3"/>
  <c r="D30" i="3" s="1"/>
  <c r="E30" i="3" s="1"/>
  <c r="C31" i="3"/>
  <c r="D31" i="3" s="1"/>
  <c r="E31" i="3" s="1"/>
  <c r="C32" i="3"/>
  <c r="D32" i="3" s="1"/>
  <c r="E32" i="3" s="1"/>
  <c r="C33" i="3"/>
  <c r="D33" i="3" s="1"/>
  <c r="E33" i="3" s="1"/>
  <c r="C34" i="3"/>
  <c r="D34" i="3" s="1"/>
  <c r="E34" i="3" s="1"/>
  <c r="C35" i="3"/>
  <c r="D35" i="3" s="1"/>
  <c r="E35" i="3" s="1"/>
  <c r="C36" i="3"/>
  <c r="D36" i="3" s="1"/>
  <c r="E36" i="3" s="1"/>
  <c r="C37" i="3"/>
  <c r="D37" i="3" s="1"/>
  <c r="E37" i="3" s="1"/>
  <c r="C38" i="3"/>
  <c r="D38" i="3" s="1"/>
  <c r="E38" i="3" s="1"/>
  <c r="C39" i="3"/>
  <c r="D39" i="3" s="1"/>
  <c r="E39" i="3" s="1"/>
  <c r="C40" i="3"/>
  <c r="D40" i="3" s="1"/>
  <c r="E40" i="3" s="1"/>
  <c r="C41" i="3"/>
  <c r="D41" i="3" s="1"/>
  <c r="E41" i="3" s="1"/>
  <c r="C42" i="3"/>
  <c r="D42" i="3" s="1"/>
  <c r="E42" i="3" s="1"/>
  <c r="C43" i="3"/>
  <c r="D43" i="3" s="1"/>
  <c r="E43" i="3" s="1"/>
  <c r="C44" i="3"/>
  <c r="D44" i="3" s="1"/>
  <c r="E44" i="3" s="1"/>
  <c r="C45" i="3"/>
  <c r="D45" i="3" s="1"/>
  <c r="E45" i="3" s="1"/>
  <c r="C46" i="3"/>
  <c r="D46" i="3" s="1"/>
  <c r="E46" i="3" s="1"/>
  <c r="C47" i="3"/>
  <c r="D47" i="3" s="1"/>
  <c r="E47" i="3" s="1"/>
  <c r="C48" i="3"/>
  <c r="D48" i="3" s="1"/>
  <c r="E48" i="3" s="1"/>
  <c r="C49" i="3"/>
  <c r="D49" i="3" s="1"/>
  <c r="E49" i="3" s="1"/>
  <c r="C50" i="3"/>
  <c r="D50" i="3" s="1"/>
  <c r="E50" i="3" s="1"/>
  <c r="C51" i="3"/>
  <c r="D51" i="3" s="1"/>
  <c r="E51" i="3" s="1"/>
  <c r="C52" i="3"/>
  <c r="D52" i="3" s="1"/>
  <c r="E52" i="3" s="1"/>
  <c r="C53" i="3"/>
  <c r="D53" i="3" s="1"/>
  <c r="E53" i="3" s="1"/>
  <c r="C54" i="3"/>
  <c r="D54" i="3" s="1"/>
  <c r="E54" i="3" s="1"/>
  <c r="C55" i="3"/>
  <c r="D55" i="3" s="1"/>
  <c r="E55" i="3" s="1"/>
  <c r="C56" i="3"/>
  <c r="D56" i="3" s="1"/>
  <c r="E56" i="3" s="1"/>
  <c r="C57" i="3"/>
  <c r="D57" i="3" s="1"/>
  <c r="E57" i="3" s="1"/>
  <c r="C58" i="3"/>
  <c r="D58" i="3" s="1"/>
  <c r="E58" i="3" s="1"/>
  <c r="C59" i="3"/>
  <c r="D59" i="3" s="1"/>
  <c r="E59" i="3" s="1"/>
  <c r="C60" i="3"/>
  <c r="D60" i="3" s="1"/>
  <c r="E60" i="3" s="1"/>
  <c r="C61" i="3"/>
  <c r="D61" i="3" s="1"/>
  <c r="E61" i="3" s="1"/>
  <c r="C62" i="3"/>
  <c r="D62" i="3" s="1"/>
  <c r="E62" i="3" s="1"/>
  <c r="C63" i="3"/>
  <c r="D63" i="3" s="1"/>
  <c r="E63" i="3" s="1"/>
  <c r="C64" i="3"/>
  <c r="D64" i="3" s="1"/>
  <c r="E64" i="3" s="1"/>
  <c r="C65" i="3"/>
  <c r="D65" i="3" s="1"/>
  <c r="E65" i="3" s="1"/>
  <c r="C66" i="3"/>
  <c r="D66" i="3" s="1"/>
  <c r="E66" i="3" s="1"/>
  <c r="C67" i="3"/>
  <c r="D67" i="3" s="1"/>
  <c r="E67" i="3" s="1"/>
  <c r="C68" i="3"/>
  <c r="D68" i="3" s="1"/>
  <c r="E68" i="3" s="1"/>
  <c r="C69" i="3"/>
  <c r="D69" i="3" s="1"/>
  <c r="E69" i="3" s="1"/>
  <c r="C70" i="3"/>
  <c r="D70" i="3" s="1"/>
  <c r="E70" i="3" s="1"/>
  <c r="C71" i="3"/>
  <c r="D71" i="3" s="1"/>
  <c r="E71" i="3" s="1"/>
  <c r="C72" i="3"/>
  <c r="D72" i="3" s="1"/>
  <c r="E72" i="3" s="1"/>
  <c r="C73" i="3"/>
  <c r="D73" i="3" s="1"/>
  <c r="E73" i="3" s="1"/>
  <c r="C74" i="3"/>
  <c r="D74" i="3" s="1"/>
  <c r="E74" i="3" s="1"/>
  <c r="C75" i="3"/>
  <c r="D75" i="3" s="1"/>
  <c r="E75" i="3" s="1"/>
  <c r="C76" i="3"/>
  <c r="D76" i="3" s="1"/>
  <c r="E76" i="3" s="1"/>
  <c r="C77" i="3"/>
  <c r="D77" i="3" s="1"/>
  <c r="E77" i="3" s="1"/>
  <c r="C78" i="3"/>
  <c r="D78" i="3" s="1"/>
  <c r="E78" i="3" s="1"/>
  <c r="C79" i="3"/>
  <c r="D79" i="3" s="1"/>
  <c r="E79" i="3" s="1"/>
  <c r="C80" i="3"/>
  <c r="D80" i="3" s="1"/>
  <c r="E80" i="3" s="1"/>
  <c r="C81" i="3"/>
  <c r="D81" i="3" s="1"/>
  <c r="E81" i="3" s="1"/>
  <c r="C82" i="3"/>
  <c r="D82" i="3" s="1"/>
  <c r="E82" i="3" s="1"/>
  <c r="C83" i="3"/>
  <c r="D83" i="3" s="1"/>
  <c r="E83" i="3" s="1"/>
  <c r="C84" i="3"/>
  <c r="D84" i="3" s="1"/>
  <c r="E84" i="3" s="1"/>
  <c r="C85" i="3"/>
  <c r="D85" i="3" s="1"/>
  <c r="E85" i="3" s="1"/>
  <c r="C86" i="3"/>
  <c r="D86" i="3" s="1"/>
  <c r="E86" i="3" s="1"/>
  <c r="C87" i="3"/>
  <c r="D87" i="3" s="1"/>
  <c r="E87" i="3" s="1"/>
  <c r="C88" i="3"/>
  <c r="D88" i="3" s="1"/>
  <c r="E88" i="3" s="1"/>
  <c r="C89" i="3"/>
  <c r="D89" i="3" s="1"/>
  <c r="E89" i="3" s="1"/>
  <c r="C90" i="3"/>
  <c r="D90" i="3" s="1"/>
  <c r="E90" i="3" s="1"/>
  <c r="C91" i="3"/>
  <c r="D91" i="3" s="1"/>
  <c r="E91" i="3" s="1"/>
  <c r="C92" i="3"/>
  <c r="D92" i="3" s="1"/>
  <c r="E92" i="3" s="1"/>
  <c r="C93" i="3"/>
  <c r="D93" i="3" s="1"/>
  <c r="E93" i="3" s="1"/>
  <c r="C94" i="3"/>
  <c r="D94" i="3" s="1"/>
  <c r="E94" i="3" s="1"/>
  <c r="C95" i="3"/>
  <c r="D95" i="3" s="1"/>
  <c r="E95" i="3" s="1"/>
  <c r="C96" i="3"/>
  <c r="D96" i="3" s="1"/>
  <c r="E96" i="3" s="1"/>
  <c r="C97" i="3"/>
  <c r="D97" i="3" s="1"/>
  <c r="E97" i="3" s="1"/>
  <c r="C98" i="3"/>
  <c r="D98" i="3" s="1"/>
  <c r="E98" i="3" s="1"/>
  <c r="C99" i="3"/>
  <c r="D99" i="3" s="1"/>
  <c r="E99" i="3" s="1"/>
  <c r="C100" i="3"/>
  <c r="D100" i="3" s="1"/>
  <c r="E100" i="3" s="1"/>
  <c r="C101" i="3"/>
  <c r="D101" i="3" s="1"/>
  <c r="E101" i="3" s="1"/>
  <c r="C102" i="3"/>
  <c r="D102" i="3" s="1"/>
  <c r="E102" i="3" s="1"/>
  <c r="C103" i="3"/>
  <c r="D103" i="3" s="1"/>
  <c r="E103" i="3" s="1"/>
  <c r="C104" i="3"/>
  <c r="D104" i="3" s="1"/>
  <c r="E104" i="3" s="1"/>
  <c r="C105" i="3"/>
  <c r="D105" i="3" s="1"/>
  <c r="E105" i="3" s="1"/>
  <c r="C106" i="3"/>
  <c r="D106" i="3" s="1"/>
  <c r="E106" i="3" s="1"/>
  <c r="C107" i="3"/>
  <c r="D107" i="3" s="1"/>
  <c r="E107" i="3" s="1"/>
  <c r="C108" i="3"/>
  <c r="D108" i="3" s="1"/>
  <c r="E108" i="3" s="1"/>
  <c r="C109" i="3"/>
  <c r="D109" i="3" s="1"/>
  <c r="E109" i="3" s="1"/>
  <c r="C110" i="3"/>
  <c r="D110" i="3" s="1"/>
  <c r="E110" i="3" s="1"/>
  <c r="C111" i="3"/>
  <c r="D111" i="3" s="1"/>
  <c r="E111" i="3" s="1"/>
  <c r="C112" i="3"/>
  <c r="D112" i="3" s="1"/>
  <c r="E112" i="3" s="1"/>
  <c r="C113" i="3"/>
  <c r="D113" i="3" s="1"/>
  <c r="E113" i="3" s="1"/>
  <c r="C114" i="3"/>
  <c r="D114" i="3" s="1"/>
  <c r="E114" i="3" s="1"/>
  <c r="C115" i="3"/>
  <c r="D115" i="3" s="1"/>
  <c r="E115" i="3" s="1"/>
  <c r="C116" i="3"/>
  <c r="D116" i="3" s="1"/>
  <c r="E116" i="3" s="1"/>
  <c r="C117" i="3"/>
  <c r="D117" i="3" s="1"/>
  <c r="E117" i="3" s="1"/>
  <c r="C118" i="3"/>
  <c r="D118" i="3" s="1"/>
  <c r="E118" i="3" s="1"/>
  <c r="C119" i="3"/>
  <c r="D119" i="3" s="1"/>
  <c r="E119" i="3" s="1"/>
  <c r="C120" i="3"/>
  <c r="D120" i="3" s="1"/>
  <c r="E120" i="3" s="1"/>
  <c r="C121" i="3"/>
  <c r="D121" i="3" s="1"/>
  <c r="E121" i="3" s="1"/>
  <c r="C122" i="3"/>
  <c r="D122" i="3" s="1"/>
  <c r="E122" i="3" s="1"/>
  <c r="C123" i="3"/>
  <c r="D123" i="3" s="1"/>
  <c r="E123" i="3" s="1"/>
  <c r="C124" i="3"/>
  <c r="D124" i="3" s="1"/>
  <c r="E124" i="3" s="1"/>
  <c r="C125" i="3"/>
  <c r="D125" i="3" s="1"/>
  <c r="E125" i="3" s="1"/>
  <c r="C126" i="3"/>
  <c r="D126" i="3" s="1"/>
  <c r="E126" i="3" s="1"/>
  <c r="C127" i="3"/>
  <c r="D127" i="3" s="1"/>
  <c r="E127" i="3" s="1"/>
  <c r="C128" i="3"/>
  <c r="D128" i="3" s="1"/>
  <c r="E128" i="3" s="1"/>
  <c r="C129" i="3"/>
  <c r="D129" i="3" s="1"/>
  <c r="E129" i="3" s="1"/>
  <c r="C130" i="3"/>
  <c r="D130" i="3" s="1"/>
  <c r="E130" i="3" s="1"/>
  <c r="C131" i="3"/>
  <c r="D131" i="3" s="1"/>
  <c r="E131" i="3" s="1"/>
  <c r="C132" i="3"/>
  <c r="D132" i="3" s="1"/>
  <c r="E132" i="3" s="1"/>
  <c r="C133" i="3"/>
  <c r="D133" i="3" s="1"/>
  <c r="E133" i="3" s="1"/>
  <c r="C134" i="3"/>
  <c r="D134" i="3" s="1"/>
  <c r="E134" i="3" s="1"/>
  <c r="C135" i="3"/>
  <c r="D135" i="3" s="1"/>
  <c r="E135" i="3" s="1"/>
  <c r="C136" i="3"/>
  <c r="D136" i="3" s="1"/>
  <c r="E136" i="3" s="1"/>
  <c r="C137" i="3"/>
  <c r="D137" i="3" s="1"/>
  <c r="E137" i="3" s="1"/>
  <c r="C138" i="3"/>
  <c r="D138" i="3" s="1"/>
  <c r="E138" i="3" s="1"/>
  <c r="C139" i="3"/>
  <c r="D139" i="3" s="1"/>
  <c r="E139" i="3" s="1"/>
  <c r="C140" i="3"/>
  <c r="D140" i="3" s="1"/>
  <c r="E140" i="3" s="1"/>
  <c r="C141" i="3"/>
  <c r="D141" i="3" s="1"/>
  <c r="E141" i="3" s="1"/>
  <c r="C142" i="3"/>
  <c r="D142" i="3" s="1"/>
  <c r="E142" i="3" s="1"/>
  <c r="C143" i="3"/>
  <c r="D143" i="3" s="1"/>
  <c r="E143" i="3" s="1"/>
  <c r="C144" i="3"/>
  <c r="D144" i="3" s="1"/>
  <c r="E144" i="3" s="1"/>
  <c r="C145" i="3"/>
  <c r="D145" i="3" s="1"/>
  <c r="E145" i="3" s="1"/>
  <c r="C146" i="3"/>
  <c r="D146" i="3" s="1"/>
  <c r="E146" i="3" s="1"/>
  <c r="C147" i="3"/>
  <c r="D147" i="3" s="1"/>
  <c r="E147" i="3" s="1"/>
  <c r="C148" i="3"/>
  <c r="D148" i="3" s="1"/>
  <c r="E148" i="3" s="1"/>
  <c r="C149" i="3"/>
  <c r="D149" i="3" s="1"/>
  <c r="E149" i="3" s="1"/>
  <c r="C150" i="3"/>
  <c r="D150" i="3" s="1"/>
  <c r="E150" i="3" s="1"/>
  <c r="C151" i="3"/>
  <c r="D151" i="3" s="1"/>
  <c r="E151" i="3" s="1"/>
  <c r="C152" i="3"/>
  <c r="D152" i="3" s="1"/>
  <c r="E152" i="3" s="1"/>
  <c r="C153" i="3"/>
  <c r="D153" i="3" s="1"/>
  <c r="E153" i="3" s="1"/>
  <c r="C154" i="3"/>
  <c r="D154" i="3" s="1"/>
  <c r="E154" i="3" s="1"/>
  <c r="C155" i="3"/>
  <c r="D155" i="3" s="1"/>
  <c r="E155" i="3" s="1"/>
  <c r="C156" i="3"/>
  <c r="D156" i="3" s="1"/>
  <c r="E156" i="3" s="1"/>
  <c r="C157" i="3"/>
  <c r="D157" i="3" s="1"/>
  <c r="E157" i="3" s="1"/>
  <c r="C158" i="3"/>
  <c r="D158" i="3" s="1"/>
  <c r="E158" i="3" s="1"/>
  <c r="C159" i="3"/>
  <c r="D159" i="3" s="1"/>
  <c r="E159" i="3" s="1"/>
  <c r="C160" i="3"/>
  <c r="D160" i="3" s="1"/>
  <c r="E160" i="3" s="1"/>
  <c r="C161" i="3"/>
  <c r="D161" i="3" s="1"/>
  <c r="E161" i="3" s="1"/>
  <c r="C162" i="3"/>
  <c r="D162" i="3" s="1"/>
  <c r="E162" i="3" s="1"/>
  <c r="C163" i="3"/>
  <c r="D163" i="3" s="1"/>
  <c r="E163" i="3" s="1"/>
  <c r="C164" i="3"/>
  <c r="D164" i="3" s="1"/>
  <c r="E164" i="3" s="1"/>
  <c r="C165" i="3"/>
  <c r="D165" i="3" s="1"/>
  <c r="E165" i="3" s="1"/>
  <c r="C166" i="3"/>
  <c r="D166" i="3" s="1"/>
  <c r="E166" i="3" s="1"/>
  <c r="C167" i="3"/>
  <c r="D167" i="3" s="1"/>
  <c r="E167" i="3" s="1"/>
  <c r="C168" i="3"/>
  <c r="D168" i="3" s="1"/>
  <c r="E168" i="3" s="1"/>
  <c r="C169" i="3"/>
  <c r="D169" i="3" s="1"/>
  <c r="E169" i="3" s="1"/>
  <c r="C170" i="3"/>
  <c r="D170" i="3" s="1"/>
  <c r="E170" i="3" s="1"/>
  <c r="C171" i="3"/>
  <c r="D171" i="3" s="1"/>
  <c r="E171" i="3" s="1"/>
  <c r="C172" i="3"/>
  <c r="D172" i="3" s="1"/>
  <c r="E172" i="3" s="1"/>
  <c r="C173" i="3"/>
  <c r="D173" i="3" s="1"/>
  <c r="E173" i="3" s="1"/>
  <c r="C174" i="3"/>
  <c r="D174" i="3" s="1"/>
  <c r="E174" i="3" s="1"/>
  <c r="C175" i="3"/>
  <c r="D175" i="3" s="1"/>
  <c r="E175" i="3" s="1"/>
  <c r="C176" i="3"/>
  <c r="D176" i="3" s="1"/>
  <c r="E176" i="3" s="1"/>
  <c r="C177" i="3"/>
  <c r="D177" i="3" s="1"/>
  <c r="E177" i="3" s="1"/>
  <c r="C178" i="3"/>
  <c r="D178" i="3" s="1"/>
  <c r="E178" i="3" s="1"/>
  <c r="C179" i="3"/>
  <c r="D179" i="3" s="1"/>
  <c r="E179" i="3" s="1"/>
  <c r="C180" i="3"/>
  <c r="D180" i="3" s="1"/>
  <c r="E180" i="3" s="1"/>
  <c r="C181" i="3"/>
  <c r="D181" i="3" s="1"/>
  <c r="E181" i="3" s="1"/>
  <c r="C182" i="3"/>
  <c r="D182" i="3" s="1"/>
  <c r="E182" i="3" s="1"/>
  <c r="C183" i="3"/>
  <c r="D183" i="3" s="1"/>
  <c r="E183" i="3" s="1"/>
  <c r="C184" i="3"/>
  <c r="D184" i="3" s="1"/>
  <c r="E184" i="3" s="1"/>
  <c r="C185" i="3"/>
  <c r="D185" i="3" s="1"/>
  <c r="E185" i="3" s="1"/>
  <c r="C186" i="3"/>
  <c r="D186" i="3" s="1"/>
  <c r="E186" i="3" s="1"/>
  <c r="C187" i="3"/>
  <c r="D187" i="3" s="1"/>
  <c r="E187" i="3" s="1"/>
  <c r="C188" i="3"/>
  <c r="D188" i="3" s="1"/>
  <c r="E188" i="3" s="1"/>
  <c r="C189" i="3"/>
  <c r="D189" i="3" s="1"/>
  <c r="E189" i="3" s="1"/>
  <c r="C190" i="3"/>
  <c r="D190" i="3" s="1"/>
  <c r="E190" i="3" s="1"/>
  <c r="C191" i="3"/>
  <c r="D191" i="3" s="1"/>
  <c r="E191" i="3" s="1"/>
  <c r="C192" i="3"/>
  <c r="D192" i="3" s="1"/>
  <c r="E192" i="3" s="1"/>
  <c r="C193" i="3"/>
  <c r="D193" i="3" s="1"/>
  <c r="E193" i="3" s="1"/>
  <c r="C194" i="3"/>
  <c r="D194" i="3" s="1"/>
  <c r="E194" i="3" s="1"/>
  <c r="C195" i="3"/>
  <c r="D195" i="3" s="1"/>
  <c r="E195" i="3" s="1"/>
  <c r="C196" i="3"/>
  <c r="D196" i="3" s="1"/>
  <c r="E196" i="3" s="1"/>
  <c r="C197" i="3"/>
  <c r="D197" i="3" s="1"/>
  <c r="E197" i="3" s="1"/>
  <c r="C198" i="3"/>
  <c r="D198" i="3" s="1"/>
  <c r="E198" i="3" s="1"/>
  <c r="C199" i="3"/>
  <c r="D199" i="3" s="1"/>
  <c r="E199" i="3" s="1"/>
  <c r="C200" i="3"/>
  <c r="D200" i="3" s="1"/>
  <c r="E200" i="3" s="1"/>
  <c r="C201" i="3"/>
  <c r="D201" i="3" s="1"/>
  <c r="E201" i="3" s="1"/>
  <c r="C202" i="3"/>
  <c r="D202" i="3" s="1"/>
  <c r="E202" i="3" s="1"/>
  <c r="C203" i="3"/>
  <c r="D203" i="3" s="1"/>
  <c r="E203" i="3" s="1"/>
  <c r="C204" i="3"/>
  <c r="D204" i="3" s="1"/>
  <c r="E204" i="3" s="1"/>
  <c r="C205" i="3"/>
  <c r="D205" i="3" s="1"/>
  <c r="E205" i="3" s="1"/>
  <c r="C206" i="3"/>
  <c r="D206" i="3" s="1"/>
  <c r="E206" i="3" s="1"/>
  <c r="C207" i="3"/>
  <c r="D207" i="3" s="1"/>
  <c r="E207" i="3" s="1"/>
  <c r="C208" i="3"/>
  <c r="D208" i="3" s="1"/>
  <c r="E208" i="3" s="1"/>
  <c r="C209" i="3"/>
  <c r="D209" i="3" s="1"/>
  <c r="E209" i="3" s="1"/>
  <c r="C210" i="3"/>
  <c r="D210" i="3" s="1"/>
  <c r="E210" i="3" s="1"/>
  <c r="C211" i="3"/>
  <c r="D211" i="3" s="1"/>
  <c r="E211" i="3" s="1"/>
  <c r="C212" i="3"/>
  <c r="D212" i="3" s="1"/>
  <c r="E212" i="3" s="1"/>
  <c r="C213" i="3"/>
  <c r="D213" i="3" s="1"/>
  <c r="E213" i="3" s="1"/>
  <c r="C214" i="3"/>
  <c r="D214" i="3" s="1"/>
  <c r="E214" i="3" s="1"/>
  <c r="C215" i="3"/>
  <c r="D215" i="3" s="1"/>
  <c r="E215" i="3" s="1"/>
  <c r="C216" i="3"/>
  <c r="D216" i="3" s="1"/>
  <c r="E216" i="3" s="1"/>
  <c r="C217" i="3"/>
  <c r="D217" i="3" s="1"/>
  <c r="E217" i="3" s="1"/>
  <c r="C218" i="3"/>
  <c r="D218" i="3" s="1"/>
  <c r="E218" i="3" s="1"/>
  <c r="C219" i="3"/>
  <c r="D219" i="3" s="1"/>
  <c r="E219" i="3" s="1"/>
  <c r="C220" i="3"/>
  <c r="D220" i="3" s="1"/>
  <c r="E220" i="3" s="1"/>
  <c r="C221" i="3"/>
  <c r="D221" i="3" s="1"/>
  <c r="E221" i="3" s="1"/>
  <c r="C222" i="3"/>
  <c r="D222" i="3" s="1"/>
  <c r="E222" i="3" s="1"/>
  <c r="C223" i="3"/>
  <c r="D223" i="3" s="1"/>
  <c r="E223" i="3" s="1"/>
  <c r="C224" i="3"/>
  <c r="D224" i="3" s="1"/>
  <c r="E224" i="3" s="1"/>
  <c r="C225" i="3"/>
  <c r="D225" i="3" s="1"/>
  <c r="E225" i="3" s="1"/>
  <c r="C226" i="3"/>
  <c r="D226" i="3" s="1"/>
  <c r="E226" i="3" s="1"/>
  <c r="C227" i="3"/>
  <c r="D227" i="3" s="1"/>
  <c r="E227" i="3" s="1"/>
  <c r="C228" i="3"/>
  <c r="D228" i="3" s="1"/>
  <c r="E228" i="3" s="1"/>
  <c r="C229" i="3"/>
  <c r="D229" i="3" s="1"/>
  <c r="E229" i="3" s="1"/>
  <c r="C230" i="3"/>
  <c r="D230" i="3" s="1"/>
  <c r="E230" i="3" s="1"/>
  <c r="C231" i="3"/>
  <c r="D231" i="3" s="1"/>
  <c r="E231" i="3" s="1"/>
  <c r="C232" i="3"/>
  <c r="D232" i="3" s="1"/>
  <c r="E232" i="3" s="1"/>
  <c r="C233" i="3"/>
  <c r="D233" i="3" s="1"/>
  <c r="E233" i="3" s="1"/>
  <c r="C234" i="3"/>
  <c r="D234" i="3" s="1"/>
  <c r="E234" i="3" s="1"/>
  <c r="C235" i="3"/>
  <c r="D235" i="3" s="1"/>
  <c r="E235" i="3" s="1"/>
  <c r="C236" i="3"/>
  <c r="D236" i="3" s="1"/>
  <c r="E236" i="3" s="1"/>
  <c r="C237" i="3"/>
  <c r="D237" i="3" s="1"/>
  <c r="E237" i="3" s="1"/>
  <c r="C238" i="3"/>
  <c r="D238" i="3" s="1"/>
  <c r="E238" i="3" s="1"/>
  <c r="C239" i="3"/>
  <c r="D239" i="3" s="1"/>
  <c r="E239" i="3" s="1"/>
  <c r="C240" i="3"/>
  <c r="D240" i="3" s="1"/>
  <c r="E240" i="3" s="1"/>
  <c r="C241" i="3"/>
  <c r="D241" i="3" s="1"/>
  <c r="E241" i="3" s="1"/>
  <c r="C242" i="3"/>
  <c r="D242" i="3" s="1"/>
  <c r="E242" i="3" s="1"/>
  <c r="C243" i="3"/>
  <c r="D243" i="3" s="1"/>
  <c r="E243" i="3" s="1"/>
  <c r="C244" i="3"/>
  <c r="D244" i="3" s="1"/>
  <c r="E244" i="3" s="1"/>
  <c r="C245" i="3"/>
  <c r="D245" i="3" s="1"/>
  <c r="E245" i="3" s="1"/>
  <c r="C246" i="3"/>
  <c r="D246" i="3" s="1"/>
  <c r="E246" i="3" s="1"/>
  <c r="C247" i="3"/>
  <c r="D247" i="3" s="1"/>
  <c r="E247" i="3" s="1"/>
  <c r="C248" i="3"/>
  <c r="D248" i="3" s="1"/>
  <c r="E248" i="3" s="1"/>
  <c r="C249" i="3"/>
  <c r="D249" i="3" s="1"/>
  <c r="E249" i="3" s="1"/>
  <c r="C250" i="3"/>
  <c r="D250" i="3" s="1"/>
  <c r="E250" i="3" s="1"/>
  <c r="C251" i="3"/>
  <c r="D251" i="3" s="1"/>
  <c r="E251" i="3" s="1"/>
  <c r="C252" i="3"/>
  <c r="D252" i="3" s="1"/>
  <c r="E252" i="3" s="1"/>
  <c r="C253" i="3"/>
  <c r="D253" i="3" s="1"/>
  <c r="E253" i="3" s="1"/>
  <c r="C254" i="3"/>
  <c r="D254" i="3" s="1"/>
  <c r="E254" i="3" s="1"/>
  <c r="C255" i="3"/>
  <c r="D255" i="3" s="1"/>
  <c r="E255" i="3" s="1"/>
  <c r="C256" i="3"/>
  <c r="D256" i="3" s="1"/>
  <c r="E256" i="3" s="1"/>
  <c r="C257" i="3"/>
  <c r="D257" i="3" s="1"/>
  <c r="E257" i="3" s="1"/>
  <c r="C258" i="3"/>
  <c r="D258" i="3" s="1"/>
  <c r="E258" i="3" s="1"/>
  <c r="C259" i="3"/>
  <c r="D259" i="3" s="1"/>
  <c r="E259" i="3" s="1"/>
  <c r="C260" i="3"/>
  <c r="D260" i="3" s="1"/>
  <c r="E260" i="3" s="1"/>
  <c r="C261" i="3"/>
  <c r="D261" i="3" s="1"/>
  <c r="E261" i="3" s="1"/>
  <c r="C262" i="3"/>
  <c r="D262" i="3" s="1"/>
  <c r="E262" i="3" s="1"/>
  <c r="C263" i="3"/>
  <c r="D263" i="3" s="1"/>
  <c r="E263" i="3" s="1"/>
  <c r="C264" i="3"/>
  <c r="D264" i="3" s="1"/>
  <c r="E264" i="3" s="1"/>
  <c r="C265" i="3"/>
  <c r="D265" i="3" s="1"/>
  <c r="E265" i="3" s="1"/>
  <c r="C266" i="3"/>
  <c r="D266" i="3" s="1"/>
  <c r="E266" i="3" s="1"/>
  <c r="C267" i="3"/>
  <c r="D267" i="3" s="1"/>
  <c r="E267" i="3" s="1"/>
  <c r="C268" i="3"/>
  <c r="D268" i="3" s="1"/>
  <c r="E268" i="3" s="1"/>
  <c r="C269" i="3"/>
  <c r="D269" i="3" s="1"/>
  <c r="E269" i="3" s="1"/>
  <c r="C270" i="3"/>
  <c r="D270" i="3" s="1"/>
  <c r="E270" i="3" s="1"/>
  <c r="C271" i="3"/>
  <c r="D271" i="3" s="1"/>
  <c r="E271" i="3" s="1"/>
  <c r="C272" i="3"/>
  <c r="D272" i="3" s="1"/>
  <c r="E272" i="3" s="1"/>
  <c r="C273" i="3"/>
  <c r="D273" i="3" s="1"/>
  <c r="E273" i="3" s="1"/>
  <c r="C274" i="3"/>
  <c r="D274" i="3" s="1"/>
  <c r="E274" i="3" s="1"/>
  <c r="C275" i="3"/>
  <c r="D275" i="3" s="1"/>
  <c r="E275" i="3" s="1"/>
  <c r="C276" i="3"/>
  <c r="D276" i="3" s="1"/>
  <c r="E276" i="3" s="1"/>
  <c r="C277" i="3"/>
  <c r="D277" i="3" s="1"/>
  <c r="E277" i="3" s="1"/>
  <c r="C278" i="3"/>
  <c r="D278" i="3" s="1"/>
  <c r="E278" i="3" s="1"/>
  <c r="C279" i="3"/>
  <c r="D279" i="3" s="1"/>
  <c r="E279" i="3" s="1"/>
  <c r="C280" i="3"/>
  <c r="D280" i="3" s="1"/>
  <c r="E280" i="3" s="1"/>
  <c r="C281" i="3"/>
  <c r="D281" i="3" s="1"/>
  <c r="E281" i="3" s="1"/>
  <c r="C282" i="3"/>
  <c r="D282" i="3" s="1"/>
  <c r="E282" i="3" s="1"/>
  <c r="C283" i="3"/>
  <c r="D283" i="3" s="1"/>
  <c r="E283" i="3" s="1"/>
  <c r="C284" i="3"/>
  <c r="D284" i="3" s="1"/>
  <c r="E284" i="3" s="1"/>
  <c r="C285" i="3"/>
  <c r="D285" i="3" s="1"/>
  <c r="E285" i="3" s="1"/>
  <c r="C286" i="3"/>
  <c r="D286" i="3" s="1"/>
  <c r="E286" i="3" s="1"/>
  <c r="C287" i="3"/>
  <c r="D287" i="3" s="1"/>
  <c r="E287" i="3" s="1"/>
  <c r="C288" i="3"/>
  <c r="D288" i="3" s="1"/>
  <c r="E288" i="3" s="1"/>
  <c r="C289" i="3"/>
  <c r="D289" i="3" s="1"/>
  <c r="E289" i="3" s="1"/>
  <c r="C290" i="3"/>
  <c r="D290" i="3" s="1"/>
  <c r="E290" i="3" s="1"/>
  <c r="C291" i="3"/>
  <c r="D291" i="3" s="1"/>
  <c r="E291" i="3" s="1"/>
  <c r="C292" i="3"/>
  <c r="D292" i="3" s="1"/>
  <c r="E292" i="3" s="1"/>
  <c r="C293" i="3"/>
  <c r="D293" i="3" s="1"/>
  <c r="E293" i="3" s="1"/>
  <c r="C294" i="3"/>
  <c r="D294" i="3" s="1"/>
  <c r="E294" i="3" s="1"/>
  <c r="C295" i="3"/>
  <c r="D295" i="3" s="1"/>
  <c r="E295" i="3" s="1"/>
  <c r="C296" i="3"/>
  <c r="D296" i="3" s="1"/>
  <c r="E296" i="3" s="1"/>
  <c r="C297" i="3"/>
  <c r="D297" i="3" s="1"/>
  <c r="E297" i="3" s="1"/>
  <c r="C298" i="3"/>
  <c r="D298" i="3" s="1"/>
  <c r="E298" i="3" s="1"/>
  <c r="C299" i="3"/>
  <c r="D299" i="3" s="1"/>
  <c r="E299" i="3" s="1"/>
  <c r="C300" i="3"/>
  <c r="D300" i="3" s="1"/>
  <c r="E300" i="3" s="1"/>
  <c r="C301" i="3"/>
  <c r="D301" i="3" s="1"/>
  <c r="E301" i="3" s="1"/>
  <c r="C302" i="3"/>
  <c r="D302" i="3" s="1"/>
  <c r="E302" i="3" s="1"/>
  <c r="C303" i="3"/>
  <c r="D303" i="3" s="1"/>
  <c r="E303" i="3" s="1"/>
  <c r="C304" i="3"/>
  <c r="D304" i="3" s="1"/>
  <c r="E304" i="3" s="1"/>
  <c r="C305" i="3"/>
  <c r="D305" i="3" s="1"/>
  <c r="E305" i="3" s="1"/>
  <c r="C306" i="3"/>
  <c r="D306" i="3" s="1"/>
  <c r="E306" i="3" s="1"/>
  <c r="C307" i="3"/>
  <c r="D307" i="3" s="1"/>
  <c r="E307" i="3" s="1"/>
  <c r="C308" i="3"/>
  <c r="D308" i="3" s="1"/>
  <c r="E308" i="3" s="1"/>
  <c r="C309" i="3"/>
  <c r="D309" i="3" s="1"/>
  <c r="E309" i="3" s="1"/>
  <c r="C310" i="3"/>
  <c r="D310" i="3" s="1"/>
  <c r="E310" i="3" s="1"/>
  <c r="C311" i="3"/>
  <c r="D311" i="3" s="1"/>
  <c r="E311" i="3" s="1"/>
  <c r="C312" i="3"/>
  <c r="D312" i="3" s="1"/>
  <c r="E312" i="3" s="1"/>
  <c r="C313" i="3"/>
  <c r="D313" i="3" s="1"/>
  <c r="E313" i="3" s="1"/>
  <c r="C314" i="3"/>
  <c r="D314" i="3" s="1"/>
  <c r="E314" i="3" s="1"/>
  <c r="C315" i="3"/>
  <c r="D315" i="3" s="1"/>
  <c r="E315" i="3" s="1"/>
  <c r="C316" i="3"/>
  <c r="D316" i="3" s="1"/>
  <c r="E316" i="3" s="1"/>
  <c r="C317" i="3"/>
  <c r="D317" i="3" s="1"/>
  <c r="E317" i="3" s="1"/>
  <c r="C318" i="3"/>
  <c r="D318" i="3" s="1"/>
  <c r="E318" i="3" s="1"/>
  <c r="C319" i="3"/>
  <c r="D319" i="3" s="1"/>
  <c r="E319" i="3" s="1"/>
  <c r="C320" i="3"/>
  <c r="D320" i="3" s="1"/>
  <c r="E320" i="3" s="1"/>
  <c r="C321" i="3"/>
  <c r="D321" i="3" s="1"/>
  <c r="E321" i="3" s="1"/>
  <c r="C322" i="3"/>
  <c r="D322" i="3" s="1"/>
  <c r="E322" i="3" s="1"/>
  <c r="C323" i="3"/>
  <c r="D323" i="3" s="1"/>
  <c r="E323" i="3" s="1"/>
  <c r="C324" i="3"/>
  <c r="D324" i="3" s="1"/>
  <c r="E324" i="3" s="1"/>
  <c r="C325" i="3"/>
  <c r="D325" i="3" s="1"/>
  <c r="E325" i="3" s="1"/>
  <c r="C326" i="3"/>
  <c r="D326" i="3" s="1"/>
  <c r="E326" i="3" s="1"/>
  <c r="C327" i="3"/>
  <c r="D327" i="3" s="1"/>
  <c r="E327" i="3" s="1"/>
  <c r="C328" i="3"/>
  <c r="D328" i="3" s="1"/>
  <c r="E328" i="3" s="1"/>
  <c r="C329" i="3"/>
  <c r="D329" i="3" s="1"/>
  <c r="E329" i="3" s="1"/>
  <c r="C330" i="3"/>
  <c r="D330" i="3" s="1"/>
  <c r="E330" i="3" s="1"/>
  <c r="C331" i="3"/>
  <c r="D331" i="3" s="1"/>
  <c r="E331" i="3" s="1"/>
  <c r="C332" i="3"/>
  <c r="D332" i="3" s="1"/>
  <c r="E332" i="3" s="1"/>
  <c r="C333" i="3"/>
  <c r="D333" i="3" s="1"/>
  <c r="E333" i="3" s="1"/>
  <c r="C334" i="3"/>
  <c r="D334" i="3" s="1"/>
  <c r="E334" i="3" s="1"/>
  <c r="C335" i="3"/>
  <c r="D335" i="3" s="1"/>
  <c r="E335" i="3" s="1"/>
  <c r="C336" i="3"/>
  <c r="D336" i="3" s="1"/>
  <c r="E336" i="3" s="1"/>
  <c r="C337" i="3"/>
  <c r="D337" i="3" s="1"/>
  <c r="E337" i="3" s="1"/>
  <c r="C338" i="3"/>
  <c r="D338" i="3" s="1"/>
  <c r="E338" i="3" s="1"/>
  <c r="C339" i="3"/>
  <c r="D339" i="3" s="1"/>
  <c r="E339" i="3" s="1"/>
  <c r="C340" i="3"/>
  <c r="D340" i="3" s="1"/>
  <c r="E340" i="3" s="1"/>
  <c r="C341" i="3"/>
  <c r="D341" i="3" s="1"/>
  <c r="E341" i="3" s="1"/>
  <c r="C342" i="3"/>
  <c r="D342" i="3" s="1"/>
  <c r="E342" i="3" s="1"/>
  <c r="C343" i="3"/>
  <c r="D343" i="3" s="1"/>
  <c r="E343" i="3" s="1"/>
  <c r="C344" i="3"/>
  <c r="D344" i="3" s="1"/>
  <c r="E344" i="3" s="1"/>
  <c r="C345" i="3"/>
  <c r="D345" i="3" s="1"/>
  <c r="E345" i="3" s="1"/>
  <c r="C346" i="3"/>
  <c r="D346" i="3" s="1"/>
  <c r="E346" i="3" s="1"/>
  <c r="C347" i="3"/>
  <c r="D347" i="3" s="1"/>
  <c r="E347" i="3" s="1"/>
  <c r="C348" i="3"/>
  <c r="D348" i="3" s="1"/>
  <c r="E348" i="3" s="1"/>
  <c r="C349" i="3"/>
  <c r="D349" i="3" s="1"/>
  <c r="E349" i="3" s="1"/>
  <c r="C350" i="3"/>
  <c r="D350" i="3" s="1"/>
  <c r="E350" i="3" s="1"/>
  <c r="C351" i="3"/>
  <c r="D351" i="3" s="1"/>
  <c r="E351" i="3" s="1"/>
  <c r="C352" i="3"/>
  <c r="D352" i="3" s="1"/>
  <c r="E352" i="3" s="1"/>
  <c r="C353" i="3"/>
  <c r="D353" i="3" s="1"/>
  <c r="E353" i="3" s="1"/>
  <c r="C354" i="3"/>
  <c r="D354" i="3" s="1"/>
  <c r="E354" i="3" s="1"/>
  <c r="C355" i="3"/>
  <c r="D355" i="3" s="1"/>
  <c r="E355" i="3" s="1"/>
  <c r="C356" i="3"/>
  <c r="D356" i="3" s="1"/>
  <c r="E356" i="3" s="1"/>
  <c r="C357" i="3"/>
  <c r="D357" i="3" s="1"/>
  <c r="E357" i="3" s="1"/>
  <c r="C358" i="3"/>
  <c r="D358" i="3" s="1"/>
  <c r="E358" i="3" s="1"/>
  <c r="C359" i="3"/>
  <c r="D359" i="3" s="1"/>
  <c r="E359" i="3" s="1"/>
  <c r="C360" i="3"/>
  <c r="D360" i="3" s="1"/>
  <c r="E360" i="3" s="1"/>
  <c r="C361" i="3"/>
  <c r="D361" i="3" s="1"/>
  <c r="E361" i="3" s="1"/>
  <c r="C362" i="3"/>
  <c r="D362" i="3" s="1"/>
  <c r="E362" i="3" s="1"/>
  <c r="C363" i="3"/>
  <c r="D363" i="3" s="1"/>
  <c r="E363" i="3" s="1"/>
  <c r="C364" i="3"/>
  <c r="D364" i="3" s="1"/>
  <c r="E364" i="3" s="1"/>
  <c r="C365" i="3"/>
  <c r="D365" i="3" s="1"/>
  <c r="E365" i="3" s="1"/>
  <c r="C366" i="3"/>
  <c r="D366" i="3" s="1"/>
  <c r="E366" i="3" s="1"/>
  <c r="C367" i="3"/>
  <c r="D367" i="3" s="1"/>
  <c r="E367" i="3" s="1"/>
  <c r="C368" i="3"/>
  <c r="D368" i="3" s="1"/>
  <c r="E368" i="3" s="1"/>
  <c r="C369" i="3"/>
  <c r="D369" i="3" s="1"/>
  <c r="E369" i="3" s="1"/>
  <c r="C370" i="3"/>
  <c r="D370" i="3" s="1"/>
  <c r="E370" i="3" s="1"/>
  <c r="C371" i="3"/>
  <c r="D371" i="3" s="1"/>
  <c r="E371" i="3" s="1"/>
  <c r="C372" i="3"/>
  <c r="D372" i="3" s="1"/>
  <c r="E372" i="3" s="1"/>
  <c r="C373" i="3"/>
  <c r="D373" i="3" s="1"/>
  <c r="E373" i="3" s="1"/>
  <c r="C374" i="3"/>
  <c r="D374" i="3" s="1"/>
  <c r="E374" i="3" s="1"/>
  <c r="C375" i="3"/>
  <c r="D375" i="3" s="1"/>
  <c r="E375" i="3" s="1"/>
  <c r="C376" i="3"/>
  <c r="D376" i="3" s="1"/>
  <c r="E376" i="3" s="1"/>
  <c r="C377" i="3"/>
  <c r="D377" i="3" s="1"/>
  <c r="E377" i="3" s="1"/>
  <c r="C378" i="3"/>
  <c r="D378" i="3" s="1"/>
  <c r="E378" i="3" s="1"/>
  <c r="C379" i="3"/>
  <c r="D379" i="3" s="1"/>
  <c r="E379" i="3" s="1"/>
  <c r="C380" i="3"/>
  <c r="D380" i="3" s="1"/>
  <c r="E380" i="3" s="1"/>
  <c r="C381" i="3"/>
  <c r="D381" i="3" s="1"/>
  <c r="E381" i="3" s="1"/>
  <c r="C382" i="3"/>
  <c r="D382" i="3" s="1"/>
  <c r="E382" i="3" s="1"/>
  <c r="C383" i="3"/>
  <c r="D383" i="3" s="1"/>
  <c r="E383" i="3" s="1"/>
  <c r="C384" i="3"/>
  <c r="D384" i="3" s="1"/>
  <c r="E384" i="3" s="1"/>
  <c r="C385" i="3"/>
  <c r="D385" i="3" s="1"/>
  <c r="E385" i="3" s="1"/>
  <c r="C386" i="3"/>
  <c r="D386" i="3" s="1"/>
  <c r="E386" i="3" s="1"/>
  <c r="C387" i="3"/>
  <c r="D387" i="3" s="1"/>
  <c r="E387" i="3" s="1"/>
  <c r="C388" i="3"/>
  <c r="D388" i="3" s="1"/>
  <c r="E388" i="3" s="1"/>
  <c r="C389" i="3"/>
  <c r="D389" i="3" s="1"/>
  <c r="E389" i="3" s="1"/>
  <c r="C390" i="3"/>
  <c r="D390" i="3" s="1"/>
  <c r="E390" i="3" s="1"/>
  <c r="C391" i="3"/>
  <c r="D391" i="3" s="1"/>
  <c r="E391" i="3" s="1"/>
  <c r="C392" i="3"/>
  <c r="D392" i="3" s="1"/>
  <c r="E392" i="3" s="1"/>
  <c r="C393" i="3"/>
  <c r="D393" i="3" s="1"/>
  <c r="E393" i="3" s="1"/>
  <c r="C394" i="3"/>
  <c r="D394" i="3" s="1"/>
  <c r="E394" i="3" s="1"/>
  <c r="C395" i="3"/>
  <c r="D395" i="3" s="1"/>
  <c r="E395" i="3" s="1"/>
  <c r="C396" i="3"/>
  <c r="D396" i="3" s="1"/>
  <c r="E396" i="3" s="1"/>
  <c r="C397" i="3"/>
  <c r="D397" i="3" s="1"/>
  <c r="E397" i="3" s="1"/>
  <c r="C398" i="3"/>
  <c r="D398" i="3" s="1"/>
  <c r="E398" i="3" s="1"/>
  <c r="C399" i="3"/>
  <c r="D399" i="3" s="1"/>
  <c r="E399" i="3" s="1"/>
  <c r="C400" i="3"/>
  <c r="D400" i="3" s="1"/>
  <c r="E400" i="3" s="1"/>
  <c r="C401" i="3"/>
  <c r="D401" i="3" s="1"/>
  <c r="E401" i="3" s="1"/>
  <c r="C402" i="3"/>
  <c r="D402" i="3" s="1"/>
  <c r="E402" i="3" s="1"/>
  <c r="C403" i="3"/>
  <c r="D403" i="3" s="1"/>
  <c r="E403" i="3" s="1"/>
  <c r="C404" i="3"/>
  <c r="D404" i="3" s="1"/>
  <c r="E404" i="3" s="1"/>
  <c r="C405" i="3"/>
  <c r="D405" i="3" s="1"/>
  <c r="E405" i="3" s="1"/>
  <c r="C406" i="3"/>
  <c r="D406" i="3" s="1"/>
  <c r="E406" i="3" s="1"/>
  <c r="C407" i="3"/>
  <c r="D407" i="3" s="1"/>
  <c r="E407" i="3" s="1"/>
  <c r="C408" i="3"/>
  <c r="D408" i="3" s="1"/>
  <c r="E408" i="3" s="1"/>
  <c r="C409" i="3"/>
  <c r="D409" i="3" s="1"/>
  <c r="E409" i="3" s="1"/>
  <c r="C410" i="3"/>
  <c r="D410" i="3" s="1"/>
  <c r="E410" i="3" s="1"/>
  <c r="C411" i="3"/>
  <c r="D411" i="3" s="1"/>
  <c r="E411" i="3" s="1"/>
  <c r="C412" i="3"/>
  <c r="D412" i="3" s="1"/>
  <c r="E412" i="3" s="1"/>
  <c r="C413" i="3"/>
  <c r="D413" i="3" s="1"/>
  <c r="E413" i="3" s="1"/>
  <c r="C414" i="3"/>
  <c r="D414" i="3" s="1"/>
  <c r="E414" i="3" s="1"/>
  <c r="C415" i="3"/>
  <c r="D415" i="3" s="1"/>
  <c r="E415" i="3" s="1"/>
  <c r="C416" i="3"/>
  <c r="D416" i="3" s="1"/>
  <c r="E416" i="3" s="1"/>
  <c r="C417" i="3"/>
  <c r="D417" i="3" s="1"/>
  <c r="E417" i="3" s="1"/>
  <c r="C418" i="3"/>
  <c r="D418" i="3" s="1"/>
  <c r="E418" i="3" s="1"/>
  <c r="C419" i="3"/>
  <c r="D419" i="3" s="1"/>
  <c r="E419" i="3" s="1"/>
  <c r="C420" i="3"/>
  <c r="D420" i="3" s="1"/>
  <c r="E420" i="3" s="1"/>
  <c r="C421" i="3"/>
  <c r="D421" i="3" s="1"/>
  <c r="E421" i="3" s="1"/>
  <c r="C422" i="3"/>
  <c r="D422" i="3" s="1"/>
  <c r="E422" i="3" s="1"/>
  <c r="C423" i="3"/>
  <c r="D423" i="3" s="1"/>
  <c r="E423" i="3" s="1"/>
  <c r="C424" i="3"/>
  <c r="D424" i="3" s="1"/>
  <c r="E424" i="3" s="1"/>
  <c r="C425" i="3"/>
  <c r="D425" i="3" s="1"/>
  <c r="E425" i="3" s="1"/>
  <c r="C426" i="3"/>
  <c r="D426" i="3" s="1"/>
  <c r="E426" i="3" s="1"/>
  <c r="C427" i="3"/>
  <c r="D427" i="3" s="1"/>
  <c r="E427" i="3" s="1"/>
  <c r="C428" i="3"/>
  <c r="D428" i="3" s="1"/>
  <c r="E428" i="3" s="1"/>
  <c r="C429" i="3"/>
  <c r="D429" i="3" s="1"/>
  <c r="E429" i="3" s="1"/>
  <c r="C430" i="3"/>
  <c r="D430" i="3" s="1"/>
  <c r="E430" i="3" s="1"/>
  <c r="C431" i="3"/>
  <c r="D431" i="3" s="1"/>
  <c r="E431" i="3" s="1"/>
  <c r="C432" i="3"/>
  <c r="D432" i="3" s="1"/>
  <c r="E432" i="3" s="1"/>
  <c r="C433" i="3"/>
  <c r="D433" i="3" s="1"/>
  <c r="E433" i="3" s="1"/>
  <c r="C434" i="3"/>
  <c r="D434" i="3" s="1"/>
  <c r="E434" i="3" s="1"/>
  <c r="C435" i="3"/>
  <c r="D435" i="3" s="1"/>
  <c r="E435" i="3" s="1"/>
  <c r="C436" i="3"/>
  <c r="D436" i="3" s="1"/>
  <c r="E436" i="3" s="1"/>
  <c r="C437" i="3"/>
  <c r="D437" i="3" s="1"/>
  <c r="E437" i="3" s="1"/>
  <c r="C438" i="3"/>
  <c r="D438" i="3" s="1"/>
  <c r="E438" i="3" s="1"/>
  <c r="C439" i="3"/>
  <c r="D439" i="3" s="1"/>
  <c r="E439" i="3" s="1"/>
  <c r="C440" i="3"/>
  <c r="D440" i="3" s="1"/>
  <c r="E440" i="3" s="1"/>
  <c r="C441" i="3"/>
  <c r="D441" i="3" s="1"/>
  <c r="E441" i="3" s="1"/>
  <c r="C442" i="3"/>
  <c r="D442" i="3" s="1"/>
  <c r="E442" i="3" s="1"/>
  <c r="C443" i="3"/>
  <c r="D443" i="3" s="1"/>
  <c r="E443" i="3" s="1"/>
  <c r="C444" i="3"/>
  <c r="D444" i="3" s="1"/>
  <c r="E444" i="3" s="1"/>
  <c r="C445" i="3"/>
  <c r="D445" i="3" s="1"/>
  <c r="E445" i="3" s="1"/>
  <c r="C446" i="3"/>
  <c r="D446" i="3" s="1"/>
  <c r="E446" i="3" s="1"/>
  <c r="C447" i="3"/>
  <c r="D447" i="3" s="1"/>
  <c r="E447" i="3" s="1"/>
  <c r="C448" i="3"/>
  <c r="D448" i="3" s="1"/>
  <c r="E448" i="3" s="1"/>
  <c r="C449" i="3"/>
  <c r="D449" i="3" s="1"/>
  <c r="E449" i="3" s="1"/>
  <c r="C450" i="3"/>
  <c r="D450" i="3" s="1"/>
  <c r="E450" i="3" s="1"/>
  <c r="C451" i="3"/>
  <c r="D451" i="3" s="1"/>
  <c r="E451" i="3" s="1"/>
  <c r="C452" i="3"/>
  <c r="D452" i="3" s="1"/>
  <c r="E452" i="3" s="1"/>
  <c r="C453" i="3"/>
  <c r="D453" i="3" s="1"/>
  <c r="E453" i="3" s="1"/>
  <c r="C454" i="3"/>
  <c r="D454" i="3" s="1"/>
  <c r="E454" i="3" s="1"/>
  <c r="C455" i="3"/>
  <c r="D455" i="3" s="1"/>
  <c r="E455" i="3" s="1"/>
  <c r="C456" i="3"/>
  <c r="D456" i="3" s="1"/>
  <c r="E456" i="3" s="1"/>
  <c r="C457" i="3"/>
  <c r="D457" i="3" s="1"/>
  <c r="E457" i="3" s="1"/>
  <c r="C458" i="3"/>
  <c r="D458" i="3" s="1"/>
  <c r="E458" i="3" s="1"/>
  <c r="C459" i="3"/>
  <c r="D459" i="3" s="1"/>
  <c r="E459" i="3" s="1"/>
  <c r="C460" i="3"/>
  <c r="D460" i="3" s="1"/>
  <c r="E460" i="3" s="1"/>
  <c r="C461" i="3"/>
  <c r="D461" i="3" s="1"/>
  <c r="E461" i="3" s="1"/>
  <c r="C462" i="3"/>
  <c r="D462" i="3" s="1"/>
  <c r="E462" i="3" s="1"/>
  <c r="C463" i="3"/>
  <c r="D463" i="3" s="1"/>
  <c r="E463" i="3" s="1"/>
  <c r="C464" i="3"/>
  <c r="D464" i="3" s="1"/>
  <c r="E464" i="3" s="1"/>
  <c r="C465" i="3"/>
  <c r="D465" i="3" s="1"/>
  <c r="E465" i="3" s="1"/>
  <c r="C466" i="3"/>
  <c r="D466" i="3" s="1"/>
  <c r="E466" i="3" s="1"/>
  <c r="C467" i="3"/>
  <c r="D467" i="3" s="1"/>
  <c r="E467" i="3" s="1"/>
  <c r="C468" i="3"/>
  <c r="D468" i="3" s="1"/>
  <c r="E468" i="3" s="1"/>
  <c r="C469" i="3"/>
  <c r="D469" i="3" s="1"/>
  <c r="E469" i="3" s="1"/>
  <c r="C470" i="3"/>
  <c r="D470" i="3" s="1"/>
  <c r="E470" i="3" s="1"/>
  <c r="C471" i="3"/>
  <c r="D471" i="3" s="1"/>
  <c r="E471" i="3" s="1"/>
  <c r="C472" i="3"/>
  <c r="D472" i="3" s="1"/>
  <c r="E472" i="3" s="1"/>
  <c r="C473" i="3"/>
  <c r="D473" i="3" s="1"/>
  <c r="E473" i="3" s="1"/>
  <c r="C474" i="3"/>
  <c r="D474" i="3" s="1"/>
  <c r="E474" i="3" s="1"/>
  <c r="C475" i="3"/>
  <c r="D475" i="3" s="1"/>
  <c r="E475" i="3" s="1"/>
  <c r="C476" i="3"/>
  <c r="D476" i="3" s="1"/>
  <c r="E476" i="3" s="1"/>
  <c r="C477" i="3"/>
  <c r="D477" i="3" s="1"/>
  <c r="E477" i="3" s="1"/>
  <c r="C478" i="3"/>
  <c r="D478" i="3" s="1"/>
  <c r="E478" i="3" s="1"/>
  <c r="C479" i="3"/>
  <c r="D479" i="3" s="1"/>
  <c r="E479" i="3" s="1"/>
  <c r="C480" i="3"/>
  <c r="D480" i="3" s="1"/>
  <c r="E480" i="3" s="1"/>
  <c r="C481" i="3"/>
  <c r="D481" i="3" s="1"/>
  <c r="E481" i="3" s="1"/>
  <c r="C482" i="3"/>
  <c r="D482" i="3" s="1"/>
  <c r="E482" i="3" s="1"/>
  <c r="C483" i="3"/>
  <c r="D483" i="3" s="1"/>
  <c r="E483" i="3" s="1"/>
  <c r="C497" i="3"/>
  <c r="C498" i="3"/>
  <c r="D498" i="3" s="1"/>
  <c r="C499" i="3"/>
  <c r="D499" i="3" s="1"/>
  <c r="C500" i="3"/>
  <c r="D500" i="3" s="1"/>
  <c r="C501" i="3"/>
  <c r="D501" i="3" s="1"/>
  <c r="C502" i="3"/>
  <c r="D502" i="3" s="1"/>
  <c r="C503" i="3"/>
  <c r="C504" i="3"/>
  <c r="D504" i="3" s="1"/>
  <c r="C505" i="3"/>
  <c r="D505" i="3" s="1"/>
  <c r="E505" i="3" s="1"/>
  <c r="C506" i="3"/>
  <c r="C507" i="3"/>
  <c r="D507" i="3" s="1"/>
  <c r="C508" i="3"/>
  <c r="C509" i="3"/>
  <c r="C510" i="3"/>
  <c r="C511" i="3"/>
  <c r="C512" i="3"/>
  <c r="C513" i="3"/>
  <c r="D513" i="3" s="1"/>
  <c r="E513" i="3" s="1"/>
  <c r="C514" i="3"/>
  <c r="D514" i="3" s="1"/>
  <c r="E514" i="3" s="1"/>
  <c r="C515" i="3"/>
  <c r="C516" i="3"/>
  <c r="C517" i="3"/>
  <c r="D517" i="3" s="1"/>
  <c r="E517" i="3" s="1"/>
  <c r="C518" i="3"/>
  <c r="D518" i="3" s="1"/>
  <c r="E518" i="3" s="1"/>
  <c r="C519" i="3"/>
  <c r="C520" i="3"/>
  <c r="C521" i="3"/>
  <c r="C522" i="3"/>
  <c r="C523" i="3"/>
  <c r="D523" i="3" s="1"/>
  <c r="E523" i="3" s="1"/>
  <c r="C524" i="3"/>
  <c r="C525" i="3"/>
  <c r="D525" i="3" s="1"/>
  <c r="C526" i="3"/>
  <c r="D526" i="3" s="1"/>
  <c r="E526" i="3" s="1"/>
  <c r="C527" i="3"/>
  <c r="C528" i="3"/>
  <c r="D528" i="3" s="1"/>
  <c r="C529" i="3"/>
  <c r="C530" i="3"/>
  <c r="C531" i="3"/>
  <c r="C532" i="3"/>
  <c r="D532" i="3" s="1"/>
  <c r="E532" i="3" s="1"/>
  <c r="C533" i="3"/>
  <c r="D533" i="3" s="1"/>
  <c r="E533" i="3" s="1"/>
  <c r="C534" i="3"/>
  <c r="D534" i="3" s="1"/>
  <c r="E534" i="3" s="1"/>
  <c r="C535" i="3"/>
  <c r="D535" i="3" s="1"/>
  <c r="E535" i="3" s="1"/>
  <c r="C536" i="3"/>
  <c r="D536" i="3" s="1"/>
  <c r="E536" i="3" s="1"/>
  <c r="C537" i="3"/>
  <c r="D537" i="3" s="1"/>
  <c r="E537" i="3" s="1"/>
  <c r="C538" i="3"/>
  <c r="D538" i="3" s="1"/>
  <c r="E538" i="3" s="1"/>
  <c r="C539" i="3"/>
  <c r="D539" i="3" s="1"/>
  <c r="E539" i="3" s="1"/>
  <c r="C540" i="3"/>
  <c r="D540" i="3" s="1"/>
  <c r="E540" i="3" s="1"/>
  <c r="C541" i="3"/>
  <c r="D541" i="3" s="1"/>
  <c r="E541" i="3" s="1"/>
  <c r="C542" i="3"/>
  <c r="D542" i="3" s="1"/>
  <c r="E542" i="3" s="1"/>
  <c r="C543" i="3"/>
  <c r="D543" i="3" s="1"/>
  <c r="E543" i="3" s="1"/>
  <c r="C544" i="3"/>
  <c r="D544" i="3" s="1"/>
  <c r="E544" i="3" s="1"/>
  <c r="C545" i="3"/>
  <c r="D545" i="3" s="1"/>
  <c r="E545" i="3" s="1"/>
  <c r="C546" i="3"/>
  <c r="D546" i="3" s="1"/>
  <c r="E546" i="3" s="1"/>
  <c r="C547" i="3"/>
  <c r="D547" i="3" s="1"/>
  <c r="E547" i="3" s="1"/>
  <c r="C548" i="3"/>
  <c r="D548" i="3" s="1"/>
  <c r="E548" i="3" s="1"/>
  <c r="C549" i="3"/>
  <c r="D549" i="3" s="1"/>
  <c r="E549" i="3" s="1"/>
  <c r="C550" i="3"/>
  <c r="D550" i="3" s="1"/>
  <c r="E550" i="3" s="1"/>
  <c r="C551" i="3"/>
  <c r="D551" i="3" s="1"/>
  <c r="E551" i="3" s="1"/>
  <c r="C552" i="3"/>
  <c r="D552" i="3" s="1"/>
  <c r="E552" i="3" s="1"/>
  <c r="C553" i="3"/>
  <c r="D553" i="3" s="1"/>
  <c r="E553" i="3" s="1"/>
  <c r="C554" i="3"/>
  <c r="D554" i="3" s="1"/>
  <c r="E554" i="3" s="1"/>
  <c r="C555" i="3"/>
  <c r="D555" i="3" s="1"/>
  <c r="E555" i="3" s="1"/>
  <c r="C556" i="3"/>
  <c r="D556" i="3" s="1"/>
  <c r="E556" i="3" s="1"/>
  <c r="C557" i="3"/>
  <c r="D557" i="3" s="1"/>
  <c r="E557" i="3" s="1"/>
  <c r="C558" i="3"/>
  <c r="D558" i="3" s="1"/>
  <c r="E558" i="3" s="1"/>
  <c r="C559" i="3"/>
  <c r="D559" i="3" s="1"/>
  <c r="E559" i="3" s="1"/>
  <c r="C560" i="3"/>
  <c r="D560" i="3" s="1"/>
  <c r="E560" i="3" s="1"/>
  <c r="C561" i="3"/>
  <c r="D561" i="3" s="1"/>
  <c r="E561" i="3" s="1"/>
  <c r="C562" i="3"/>
  <c r="D562" i="3" s="1"/>
  <c r="E562" i="3" s="1"/>
  <c r="C563" i="3"/>
  <c r="D563" i="3" s="1"/>
  <c r="E563" i="3" s="1"/>
  <c r="C564" i="3"/>
  <c r="D564" i="3" s="1"/>
  <c r="E564" i="3" s="1"/>
  <c r="C565" i="3"/>
  <c r="D565" i="3" s="1"/>
  <c r="E565" i="3" s="1"/>
  <c r="C566" i="3"/>
  <c r="D566" i="3" s="1"/>
  <c r="E566" i="3" s="1"/>
  <c r="C567" i="3"/>
  <c r="D567" i="3" s="1"/>
  <c r="E567" i="3" s="1"/>
  <c r="C568" i="3"/>
  <c r="D568" i="3" s="1"/>
  <c r="E568" i="3" s="1"/>
  <c r="C569" i="3"/>
  <c r="D569" i="3" s="1"/>
  <c r="E569" i="3" s="1"/>
  <c r="C570" i="3"/>
  <c r="D570" i="3" s="1"/>
  <c r="E570" i="3" s="1"/>
  <c r="C571" i="3"/>
  <c r="D571" i="3" s="1"/>
  <c r="C572" i="3"/>
  <c r="D572" i="3" s="1"/>
  <c r="E572" i="3" s="1"/>
  <c r="C573" i="3"/>
  <c r="D573" i="3" s="1"/>
  <c r="E573" i="3" s="1"/>
  <c r="C574" i="3"/>
  <c r="D574" i="3" s="1"/>
  <c r="E574" i="3" s="1"/>
  <c r="C575" i="3"/>
  <c r="D575" i="3" s="1"/>
  <c r="E575" i="3" s="1"/>
  <c r="C576" i="3"/>
  <c r="D576" i="3" s="1"/>
  <c r="E576" i="3" s="1"/>
  <c r="C577" i="3"/>
  <c r="D577" i="3" s="1"/>
  <c r="E577" i="3" s="1"/>
  <c r="C578" i="3"/>
  <c r="D578" i="3" s="1"/>
  <c r="E578" i="3" s="1"/>
  <c r="C579" i="3"/>
  <c r="D579" i="3" s="1"/>
  <c r="C580" i="3"/>
  <c r="D580" i="3" s="1"/>
  <c r="E580" i="3" s="1"/>
  <c r="C581" i="3"/>
  <c r="D581" i="3" s="1"/>
  <c r="C582" i="3"/>
  <c r="E582" i="3" s="1"/>
  <c r="C583" i="3"/>
  <c r="D583" i="3" s="1"/>
  <c r="C584" i="3"/>
  <c r="E584" i="3" s="1"/>
  <c r="C585" i="3"/>
  <c r="D585" i="3" s="1"/>
  <c r="E585" i="3" s="1"/>
  <c r="C586" i="3"/>
  <c r="D586" i="3" s="1"/>
  <c r="C587" i="3"/>
  <c r="E587" i="3" s="1"/>
  <c r="C588" i="3"/>
  <c r="E588" i="3" s="1"/>
  <c r="C589" i="3"/>
  <c r="E589" i="3" s="1"/>
  <c r="C590" i="3"/>
  <c r="E590" i="3" s="1"/>
  <c r="C591" i="3"/>
  <c r="E591" i="3" s="1"/>
  <c r="C592" i="3"/>
  <c r="E592" i="3" s="1"/>
  <c r="C593" i="3"/>
  <c r="E593" i="3" s="1"/>
  <c r="C594" i="3"/>
  <c r="E594" i="3" s="1"/>
  <c r="C595" i="3"/>
  <c r="E595" i="3" s="1"/>
  <c r="C596" i="3"/>
  <c r="E596" i="3" s="1"/>
  <c r="C597" i="3"/>
  <c r="E597" i="3" s="1"/>
  <c r="C598" i="3"/>
  <c r="E598" i="3" s="1"/>
  <c r="C599" i="3"/>
  <c r="E599" i="3" s="1"/>
  <c r="C600" i="3"/>
  <c r="E600" i="3" s="1"/>
  <c r="C601" i="3"/>
  <c r="E601" i="3" s="1"/>
  <c r="C602" i="3"/>
  <c r="E602" i="3" s="1"/>
  <c r="C603" i="3"/>
  <c r="E603" i="3" s="1"/>
  <c r="C604" i="3"/>
  <c r="E604" i="3" s="1"/>
  <c r="C605" i="3"/>
  <c r="E605" i="3" s="1"/>
  <c r="C606" i="3"/>
  <c r="E606" i="3" s="1"/>
  <c r="C607" i="3"/>
  <c r="E607" i="3" s="1"/>
  <c r="C608" i="3"/>
  <c r="E608" i="3" s="1"/>
  <c r="C609" i="3"/>
  <c r="E609" i="3" s="1"/>
  <c r="C610" i="3"/>
  <c r="E610" i="3" s="1"/>
  <c r="C611" i="3"/>
  <c r="E611" i="3" s="1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E658" i="3" s="1"/>
  <c r="C659" i="3"/>
  <c r="E659" i="3" s="1"/>
  <c r="C660" i="3"/>
  <c r="E660" i="3" s="1"/>
  <c r="C661" i="3"/>
  <c r="E661" i="3" s="1"/>
  <c r="C662" i="3"/>
  <c r="E662" i="3" s="1"/>
  <c r="C663" i="3"/>
  <c r="E663" i="3" s="1"/>
  <c r="C664" i="3"/>
  <c r="E664" i="3" s="1"/>
  <c r="C665" i="3"/>
  <c r="E665" i="3" s="1"/>
  <c r="C666" i="3"/>
  <c r="E666" i="3" s="1"/>
  <c r="C667" i="3"/>
  <c r="E667" i="3" s="1"/>
  <c r="C668" i="3"/>
  <c r="E668" i="3" s="1"/>
  <c r="C669" i="3"/>
  <c r="E669" i="3" s="1"/>
  <c r="C670" i="3"/>
  <c r="E670" i="3" s="1"/>
  <c r="C671" i="3"/>
  <c r="E671" i="3" s="1"/>
  <c r="C672" i="3"/>
  <c r="E672" i="3" s="1"/>
  <c r="C673" i="3"/>
  <c r="E673" i="3" s="1"/>
  <c r="C674" i="3"/>
  <c r="E674" i="3" s="1"/>
  <c r="C675" i="3"/>
  <c r="E675" i="3" s="1"/>
  <c r="C676" i="3"/>
  <c r="E676" i="3" s="1"/>
  <c r="C677" i="3"/>
  <c r="E677" i="3" s="1"/>
  <c r="C678" i="3"/>
  <c r="E678" i="3" s="1"/>
  <c r="C679" i="3"/>
  <c r="E679" i="3" s="1"/>
  <c r="C680" i="3"/>
  <c r="E680" i="3" s="1"/>
  <c r="C681" i="3"/>
  <c r="E681" i="3" s="1"/>
  <c r="C682" i="3"/>
  <c r="E682" i="3" s="1"/>
  <c r="C683" i="3"/>
  <c r="E683" i="3" s="1"/>
  <c r="C684" i="3"/>
  <c r="E684" i="3" s="1"/>
  <c r="C685" i="3"/>
  <c r="E685" i="3" s="1"/>
  <c r="C686" i="3"/>
  <c r="E686" i="3" s="1"/>
  <c r="C687" i="3"/>
  <c r="E687" i="3" s="1"/>
  <c r="C688" i="3"/>
  <c r="E688" i="3" s="1"/>
  <c r="C689" i="3"/>
  <c r="E689" i="3" s="1"/>
  <c r="C690" i="3"/>
  <c r="E690" i="3" s="1"/>
  <c r="C691" i="3"/>
  <c r="E691" i="3" s="1"/>
  <c r="C692" i="3"/>
  <c r="E692" i="3" s="1"/>
  <c r="C693" i="3"/>
  <c r="E693" i="3" s="1"/>
  <c r="C694" i="3"/>
  <c r="E694" i="3" s="1"/>
  <c r="C695" i="3"/>
  <c r="E695" i="3" s="1"/>
  <c r="C696" i="3"/>
  <c r="E696" i="3" s="1"/>
  <c r="C697" i="3"/>
  <c r="E697" i="3" s="1"/>
  <c r="C698" i="3"/>
  <c r="E698" i="3" s="1"/>
  <c r="C699" i="3"/>
  <c r="E699" i="3" s="1"/>
  <c r="C700" i="3"/>
  <c r="E700" i="3" s="1"/>
  <c r="C701" i="3"/>
  <c r="E701" i="3" s="1"/>
  <c r="C702" i="3"/>
  <c r="E702" i="3" s="1"/>
  <c r="C703" i="3"/>
  <c r="E703" i="3" s="1"/>
  <c r="C704" i="3"/>
  <c r="E704" i="3" s="1"/>
  <c r="C705" i="3"/>
  <c r="E705" i="3" s="1"/>
  <c r="C706" i="3"/>
  <c r="E706" i="3" s="1"/>
  <c r="C707" i="3"/>
  <c r="E707" i="3" s="1"/>
  <c r="C708" i="3"/>
  <c r="E708" i="3" s="1"/>
  <c r="C709" i="3"/>
  <c r="E709" i="3" s="1"/>
  <c r="C710" i="3"/>
  <c r="E710" i="3" s="1"/>
  <c r="C711" i="3"/>
  <c r="E711" i="3" s="1"/>
  <c r="C712" i="3"/>
  <c r="E712" i="3" s="1"/>
  <c r="C713" i="3"/>
  <c r="E713" i="3" s="1"/>
  <c r="C714" i="3"/>
  <c r="E714" i="3" s="1"/>
  <c r="C715" i="3"/>
  <c r="E715" i="3" s="1"/>
  <c r="C716" i="3"/>
  <c r="E716" i="3" s="1"/>
  <c r="C717" i="3"/>
  <c r="E717" i="3" s="1"/>
  <c r="C718" i="3"/>
  <c r="E718" i="3" s="1"/>
  <c r="C719" i="3"/>
  <c r="E719" i="3" s="1"/>
  <c r="C720" i="3"/>
  <c r="E720" i="3" s="1"/>
  <c r="C721" i="3"/>
  <c r="E721" i="3" s="1"/>
  <c r="C722" i="3"/>
  <c r="E722" i="3" s="1"/>
  <c r="C723" i="3"/>
  <c r="E723" i="3" s="1"/>
  <c r="C724" i="3"/>
  <c r="E724" i="3" s="1"/>
  <c r="C725" i="3"/>
  <c r="E725" i="3" s="1"/>
  <c r="C726" i="3"/>
  <c r="E726" i="3" s="1"/>
  <c r="C727" i="3"/>
  <c r="E727" i="3" s="1"/>
  <c r="C728" i="3"/>
  <c r="E728" i="3" s="1"/>
  <c r="C729" i="3"/>
  <c r="E729" i="3" s="1"/>
  <c r="C730" i="3"/>
  <c r="E730" i="3" s="1"/>
  <c r="C731" i="3"/>
  <c r="E731" i="3" s="1"/>
  <c r="C732" i="3"/>
  <c r="E732" i="3" s="1"/>
  <c r="C733" i="3"/>
  <c r="E733" i="3" s="1"/>
  <c r="C734" i="3"/>
  <c r="E734" i="3" s="1"/>
  <c r="C735" i="3"/>
  <c r="E735" i="3" s="1"/>
  <c r="C736" i="3"/>
  <c r="E736" i="3" s="1"/>
  <c r="C737" i="3"/>
  <c r="E737" i="3" s="1"/>
  <c r="C738" i="3"/>
  <c r="E738" i="3" s="1"/>
  <c r="C739" i="3"/>
  <c r="E739" i="3" s="1"/>
  <c r="C740" i="3"/>
  <c r="E740" i="3" s="1"/>
  <c r="C741" i="3"/>
  <c r="E741" i="3" s="1"/>
  <c r="C742" i="3"/>
  <c r="E742" i="3" s="1"/>
  <c r="C743" i="3"/>
  <c r="E743" i="3" s="1"/>
  <c r="C744" i="3"/>
  <c r="E744" i="3" s="1"/>
  <c r="C745" i="3"/>
  <c r="E745" i="3" s="1"/>
  <c r="C746" i="3"/>
  <c r="E746" i="3" s="1"/>
  <c r="C747" i="3"/>
  <c r="E747" i="3" s="1"/>
  <c r="C748" i="3"/>
  <c r="E748" i="3" s="1"/>
  <c r="C749" i="3"/>
  <c r="E749" i="3" s="1"/>
  <c r="C750" i="3"/>
  <c r="E750" i="3" s="1"/>
  <c r="C751" i="3"/>
  <c r="E751" i="3" s="1"/>
  <c r="C752" i="3"/>
  <c r="E752" i="3" s="1"/>
  <c r="C753" i="3"/>
  <c r="E753" i="3" s="1"/>
  <c r="C754" i="3"/>
  <c r="E754" i="3" s="1"/>
  <c r="C755" i="3"/>
  <c r="E755" i="3" s="1"/>
  <c r="C756" i="3"/>
  <c r="E756" i="3" s="1"/>
  <c r="C757" i="3"/>
  <c r="E757" i="3" s="1"/>
  <c r="C758" i="3"/>
  <c r="E758" i="3" s="1"/>
  <c r="C759" i="3"/>
  <c r="E759" i="3" s="1"/>
  <c r="C760" i="3"/>
  <c r="E760" i="3" s="1"/>
  <c r="C761" i="3"/>
  <c r="E761" i="3" s="1"/>
  <c r="C762" i="3"/>
  <c r="E762" i="3" s="1"/>
  <c r="C763" i="3"/>
  <c r="E763" i="3" s="1"/>
  <c r="C764" i="3"/>
  <c r="E764" i="3" s="1"/>
  <c r="C765" i="3"/>
  <c r="E765" i="3" s="1"/>
  <c r="C766" i="3"/>
  <c r="E766" i="3" s="1"/>
  <c r="C767" i="3"/>
  <c r="E767" i="3" s="1"/>
  <c r="C768" i="3"/>
  <c r="E768" i="3" s="1"/>
  <c r="C769" i="3"/>
  <c r="E769" i="3" s="1"/>
  <c r="C770" i="3"/>
  <c r="E770" i="3" s="1"/>
  <c r="C771" i="3"/>
  <c r="E771" i="3" s="1"/>
  <c r="C772" i="3"/>
  <c r="E772" i="3" s="1"/>
  <c r="C773" i="3"/>
  <c r="E773" i="3" s="1"/>
  <c r="C774" i="3"/>
  <c r="E774" i="3" s="1"/>
  <c r="C775" i="3"/>
  <c r="E775" i="3" s="1"/>
  <c r="C776" i="3"/>
  <c r="E776" i="3" s="1"/>
  <c r="C777" i="3"/>
  <c r="E777" i="3" s="1"/>
  <c r="C778" i="3"/>
  <c r="E778" i="3" s="1"/>
  <c r="C779" i="3"/>
  <c r="E779" i="3" s="1"/>
  <c r="C780" i="3"/>
  <c r="E780" i="3" s="1"/>
  <c r="C781" i="3"/>
  <c r="E781" i="3" s="1"/>
  <c r="C782" i="3"/>
  <c r="E782" i="3" s="1"/>
  <c r="C783" i="3"/>
  <c r="E783" i="3" s="1"/>
  <c r="C784" i="3"/>
  <c r="E784" i="3" s="1"/>
  <c r="C785" i="3"/>
  <c r="E785" i="3" s="1"/>
  <c r="C786" i="3"/>
  <c r="E786" i="3" s="1"/>
  <c r="C787" i="3"/>
  <c r="E787" i="3" s="1"/>
  <c r="C788" i="3"/>
  <c r="E788" i="3" s="1"/>
  <c r="C789" i="3"/>
  <c r="E789" i="3" s="1"/>
  <c r="C790" i="3"/>
  <c r="E790" i="3" s="1"/>
  <c r="C791" i="3"/>
  <c r="E791" i="3" s="1"/>
  <c r="C792" i="3"/>
  <c r="E792" i="3" s="1"/>
  <c r="C793" i="3"/>
  <c r="E793" i="3" s="1"/>
  <c r="C794" i="3"/>
  <c r="E794" i="3" s="1"/>
  <c r="C795" i="3"/>
  <c r="E795" i="3" s="1"/>
  <c r="C796" i="3"/>
  <c r="E796" i="3" s="1"/>
  <c r="C797" i="3"/>
  <c r="E797" i="3" s="1"/>
  <c r="C798" i="3"/>
  <c r="E798" i="3" s="1"/>
  <c r="C799" i="3"/>
  <c r="E799" i="3" s="1"/>
  <c r="C800" i="3"/>
  <c r="E800" i="3" s="1"/>
  <c r="C801" i="3"/>
  <c r="E801" i="3" s="1"/>
  <c r="C802" i="3"/>
  <c r="E802" i="3" s="1"/>
  <c r="C803" i="3"/>
  <c r="E803" i="3" s="1"/>
  <c r="C804" i="3"/>
  <c r="E804" i="3" s="1"/>
  <c r="C805" i="3"/>
  <c r="E805" i="3" s="1"/>
  <c r="C806" i="3"/>
  <c r="E806" i="3" s="1"/>
  <c r="C807" i="3"/>
  <c r="E807" i="3" s="1"/>
  <c r="C808" i="3"/>
  <c r="E808" i="3" s="1"/>
  <c r="C809" i="3"/>
  <c r="E809" i="3" s="1"/>
  <c r="C810" i="3"/>
  <c r="E810" i="3" s="1"/>
  <c r="C811" i="3"/>
  <c r="E811" i="3" s="1"/>
  <c r="C812" i="3"/>
  <c r="E812" i="3" s="1"/>
  <c r="C813" i="3"/>
  <c r="E813" i="3" s="1"/>
  <c r="C814" i="3"/>
  <c r="E814" i="3" s="1"/>
  <c r="C815" i="3"/>
  <c r="E815" i="3" s="1"/>
  <c r="C816" i="3"/>
  <c r="E816" i="3" s="1"/>
  <c r="C817" i="3"/>
  <c r="E817" i="3" s="1"/>
  <c r="C818" i="3"/>
  <c r="E818" i="3" s="1"/>
  <c r="C819" i="3"/>
  <c r="E819" i="3" s="1"/>
  <c r="C820" i="3"/>
  <c r="E820" i="3" s="1"/>
  <c r="C821" i="3"/>
  <c r="E821" i="3" s="1"/>
  <c r="C822" i="3"/>
  <c r="E822" i="3" s="1"/>
  <c r="C823" i="3"/>
  <c r="E823" i="3" s="1"/>
  <c r="C824" i="3"/>
  <c r="E824" i="3" s="1"/>
  <c r="C825" i="3"/>
  <c r="E825" i="3" s="1"/>
  <c r="C826" i="3"/>
  <c r="E826" i="3" s="1"/>
  <c r="C827" i="3"/>
  <c r="E827" i="3" s="1"/>
  <c r="C828" i="3"/>
  <c r="E828" i="3" s="1"/>
  <c r="C829" i="3"/>
  <c r="E829" i="3" s="1"/>
  <c r="C830" i="3"/>
  <c r="E830" i="3" s="1"/>
  <c r="C831" i="3"/>
  <c r="E831" i="3" s="1"/>
  <c r="C832" i="3"/>
  <c r="E832" i="3" s="1"/>
  <c r="C833" i="3"/>
  <c r="E833" i="3" s="1"/>
  <c r="C834" i="3"/>
  <c r="E834" i="3" s="1"/>
  <c r="C835" i="3"/>
  <c r="E835" i="3" s="1"/>
  <c r="C836" i="3"/>
  <c r="E836" i="3" s="1"/>
  <c r="C837" i="3"/>
  <c r="E837" i="3" s="1"/>
  <c r="C838" i="3"/>
  <c r="E838" i="3" s="1"/>
  <c r="C839" i="3"/>
  <c r="E839" i="3" s="1"/>
  <c r="C840" i="3"/>
  <c r="E840" i="3" s="1"/>
  <c r="C841" i="3"/>
  <c r="E841" i="3" s="1"/>
  <c r="C842" i="3"/>
  <c r="E842" i="3" s="1"/>
  <c r="C843" i="3"/>
  <c r="E843" i="3" s="1"/>
  <c r="C844" i="3"/>
  <c r="E844" i="3" s="1"/>
  <c r="C845" i="3"/>
  <c r="E845" i="3" s="1"/>
  <c r="C846" i="3"/>
  <c r="E846" i="3" s="1"/>
  <c r="C847" i="3"/>
  <c r="E847" i="3" s="1"/>
  <c r="C848" i="3"/>
  <c r="E848" i="3" s="1"/>
  <c r="C849" i="3"/>
  <c r="E849" i="3" s="1"/>
  <c r="C850" i="3"/>
  <c r="E850" i="3" s="1"/>
  <c r="C851" i="3"/>
  <c r="E851" i="3" s="1"/>
  <c r="C852" i="3"/>
  <c r="E852" i="3" s="1"/>
  <c r="C853" i="3"/>
  <c r="E853" i="3" s="1"/>
  <c r="C854" i="3"/>
  <c r="E854" i="3" s="1"/>
  <c r="C855" i="3"/>
  <c r="E855" i="3" s="1"/>
  <c r="C856" i="3"/>
  <c r="E856" i="3" s="1"/>
  <c r="C857" i="3"/>
  <c r="E857" i="3" s="1"/>
  <c r="C858" i="3"/>
  <c r="E858" i="3" s="1"/>
  <c r="C859" i="3"/>
  <c r="E859" i="3" s="1"/>
  <c r="C860" i="3"/>
  <c r="E860" i="3" s="1"/>
  <c r="C861" i="3"/>
  <c r="E861" i="3" s="1"/>
  <c r="C862" i="3"/>
  <c r="E862" i="3" s="1"/>
  <c r="C863" i="3"/>
  <c r="E863" i="3" s="1"/>
  <c r="C864" i="3"/>
  <c r="E864" i="3" s="1"/>
  <c r="C865" i="3"/>
  <c r="E865" i="3" s="1"/>
  <c r="C866" i="3"/>
  <c r="E866" i="3" s="1"/>
  <c r="C867" i="3"/>
  <c r="E867" i="3" s="1"/>
  <c r="C868" i="3"/>
  <c r="E868" i="3" s="1"/>
  <c r="C869" i="3"/>
  <c r="E869" i="3" s="1"/>
  <c r="C870" i="3"/>
  <c r="E870" i="3" s="1"/>
  <c r="C871" i="3"/>
  <c r="E871" i="3" s="1"/>
  <c r="C872" i="3"/>
  <c r="E872" i="3" s="1"/>
  <c r="C873" i="3"/>
  <c r="E873" i="3" s="1"/>
  <c r="C874" i="3"/>
  <c r="E874" i="3" s="1"/>
  <c r="C875" i="3"/>
  <c r="E875" i="3" s="1"/>
  <c r="C876" i="3"/>
  <c r="E876" i="3" s="1"/>
  <c r="C877" i="3"/>
  <c r="E877" i="3" s="1"/>
  <c r="C878" i="3"/>
  <c r="E878" i="3" s="1"/>
  <c r="C879" i="3"/>
  <c r="E879" i="3" s="1"/>
  <c r="C880" i="3"/>
  <c r="E880" i="3" s="1"/>
  <c r="C881" i="3"/>
  <c r="E881" i="3" s="1"/>
  <c r="C882" i="3"/>
  <c r="E882" i="3" s="1"/>
  <c r="C883" i="3"/>
  <c r="E883" i="3" s="1"/>
  <c r="C884" i="3"/>
  <c r="E884" i="3" s="1"/>
  <c r="C885" i="3"/>
  <c r="E885" i="3" s="1"/>
  <c r="C886" i="3"/>
  <c r="E886" i="3" s="1"/>
  <c r="C887" i="3"/>
  <c r="E887" i="3" s="1"/>
  <c r="C888" i="3"/>
  <c r="E888" i="3" s="1"/>
  <c r="C889" i="3"/>
  <c r="E889" i="3" s="1"/>
  <c r="C890" i="3"/>
  <c r="E890" i="3" s="1"/>
  <c r="C891" i="3"/>
  <c r="E891" i="3"/>
  <c r="C892" i="3"/>
  <c r="E892" i="3" s="1"/>
  <c r="C893" i="3"/>
  <c r="E893" i="3" s="1"/>
  <c r="C894" i="3"/>
  <c r="E894" i="3" s="1"/>
  <c r="C895" i="3"/>
  <c r="E895" i="3" s="1"/>
  <c r="C896" i="3"/>
  <c r="E896" i="3" s="1"/>
  <c r="C897" i="3"/>
  <c r="E897" i="3" s="1"/>
  <c r="C898" i="3"/>
  <c r="E898" i="3" s="1"/>
  <c r="C899" i="3"/>
  <c r="E899" i="3" s="1"/>
  <c r="C900" i="3"/>
  <c r="E900" i="3" s="1"/>
  <c r="C901" i="3"/>
  <c r="E901" i="3" s="1"/>
  <c r="C902" i="3"/>
  <c r="E902" i="3" s="1"/>
  <c r="C903" i="3"/>
  <c r="E903" i="3" s="1"/>
  <c r="C904" i="3"/>
  <c r="E904" i="3" s="1"/>
  <c r="C905" i="3"/>
  <c r="E905" i="3" s="1"/>
  <c r="C906" i="3"/>
  <c r="E906" i="3" s="1"/>
  <c r="C907" i="3"/>
  <c r="E907" i="3" s="1"/>
  <c r="C908" i="3"/>
  <c r="E908" i="3" s="1"/>
  <c r="C909" i="3"/>
  <c r="E909" i="3" s="1"/>
  <c r="C910" i="3"/>
  <c r="E910" i="3" s="1"/>
  <c r="C911" i="3"/>
  <c r="E911" i="3" s="1"/>
  <c r="C912" i="3"/>
  <c r="E912" i="3" s="1"/>
  <c r="C913" i="3"/>
  <c r="E913" i="3" s="1"/>
  <c r="C914" i="3"/>
  <c r="E914" i="3" s="1"/>
  <c r="C915" i="3"/>
  <c r="E915" i="3" s="1"/>
  <c r="C916" i="3"/>
  <c r="E916" i="3" s="1"/>
  <c r="C917" i="3"/>
  <c r="E917" i="3" s="1"/>
  <c r="C918" i="3"/>
  <c r="E918" i="3" s="1"/>
  <c r="C919" i="3"/>
  <c r="E919" i="3" s="1"/>
  <c r="C920" i="3"/>
  <c r="E920" i="3" s="1"/>
  <c r="C921" i="3"/>
  <c r="E921" i="3" s="1"/>
  <c r="C922" i="3"/>
  <c r="E922" i="3" s="1"/>
  <c r="C923" i="3"/>
  <c r="E923" i="3" s="1"/>
  <c r="C924" i="3"/>
  <c r="E924" i="3" s="1"/>
  <c r="C925" i="3"/>
  <c r="E925" i="3" s="1"/>
  <c r="C926" i="3"/>
  <c r="E926" i="3" s="1"/>
  <c r="C927" i="3"/>
  <c r="E927" i="3" s="1"/>
  <c r="C928" i="3"/>
  <c r="E928" i="3" s="1"/>
  <c r="C929" i="3"/>
  <c r="E929" i="3" s="1"/>
  <c r="C930" i="3"/>
  <c r="E930" i="3" s="1"/>
  <c r="C931" i="3"/>
  <c r="E931" i="3" s="1"/>
  <c r="C932" i="3"/>
  <c r="E932" i="3" s="1"/>
  <c r="C933" i="3"/>
  <c r="E933" i="3" s="1"/>
  <c r="C934" i="3"/>
  <c r="E934" i="3" s="1"/>
  <c r="C935" i="3"/>
  <c r="E935" i="3" s="1"/>
  <c r="C936" i="3"/>
  <c r="E936" i="3" s="1"/>
  <c r="C937" i="3"/>
  <c r="E937" i="3" s="1"/>
  <c r="C938" i="3"/>
  <c r="E938" i="3" s="1"/>
  <c r="C939" i="3"/>
  <c r="E939" i="3" s="1"/>
  <c r="C940" i="3"/>
  <c r="E940" i="3" s="1"/>
  <c r="C941" i="3"/>
  <c r="E941" i="3" s="1"/>
  <c r="C942" i="3"/>
  <c r="E942" i="3" s="1"/>
  <c r="C943" i="3"/>
  <c r="E943" i="3" s="1"/>
  <c r="C944" i="3"/>
  <c r="E944" i="3" s="1"/>
  <c r="C945" i="3"/>
  <c r="E945" i="3" s="1"/>
  <c r="C946" i="3"/>
  <c r="E946" i="3" s="1"/>
  <c r="C947" i="3"/>
  <c r="E947" i="3" s="1"/>
  <c r="C948" i="3"/>
  <c r="E948" i="3" s="1"/>
  <c r="C949" i="3"/>
  <c r="E949" i="3" s="1"/>
  <c r="C950" i="3"/>
  <c r="E950" i="3" s="1"/>
  <c r="C951" i="3"/>
  <c r="E951" i="3" s="1"/>
  <c r="C952" i="3"/>
  <c r="E952" i="3" s="1"/>
  <c r="C953" i="3"/>
  <c r="E953" i="3" s="1"/>
  <c r="C954" i="3"/>
  <c r="E954" i="3" s="1"/>
  <c r="C955" i="3"/>
  <c r="E955" i="3" s="1"/>
  <c r="C956" i="3"/>
  <c r="E956" i="3" s="1"/>
  <c r="C957" i="3"/>
  <c r="E957" i="3" s="1"/>
  <c r="C958" i="3"/>
  <c r="E958" i="3" s="1"/>
  <c r="C959" i="3"/>
  <c r="E959" i="3" s="1"/>
  <c r="C960" i="3"/>
  <c r="E960" i="3" s="1"/>
  <c r="C961" i="3"/>
  <c r="E961" i="3" s="1"/>
  <c r="C962" i="3"/>
  <c r="E962" i="3" s="1"/>
  <c r="C963" i="3"/>
  <c r="E963" i="3" s="1"/>
  <c r="C964" i="3"/>
  <c r="E964" i="3" s="1"/>
  <c r="C965" i="3"/>
  <c r="E965" i="3" s="1"/>
  <c r="C966" i="3"/>
  <c r="E966" i="3" s="1"/>
  <c r="C967" i="3"/>
  <c r="E967" i="3" s="1"/>
  <c r="C968" i="3"/>
  <c r="E968" i="3" s="1"/>
  <c r="C969" i="3"/>
  <c r="E969" i="3" s="1"/>
  <c r="C970" i="3"/>
  <c r="E970" i="3" s="1"/>
  <c r="C971" i="3"/>
  <c r="E971" i="3" s="1"/>
  <c r="C972" i="3"/>
  <c r="E972" i="3" s="1"/>
  <c r="C973" i="3"/>
  <c r="E973" i="3" s="1"/>
  <c r="C974" i="3"/>
  <c r="E974" i="3" s="1"/>
  <c r="C975" i="3"/>
  <c r="E975" i="3" s="1"/>
  <c r="C976" i="3"/>
  <c r="E976" i="3" s="1"/>
  <c r="C977" i="3"/>
  <c r="E977" i="3" s="1"/>
  <c r="C978" i="3"/>
  <c r="E978" i="3" s="1"/>
  <c r="C979" i="3"/>
  <c r="E979" i="3" s="1"/>
  <c r="C980" i="3"/>
  <c r="E980" i="3" s="1"/>
  <c r="C981" i="3"/>
  <c r="E981" i="3" s="1"/>
  <c r="C982" i="3"/>
  <c r="E982" i="3" s="1"/>
  <c r="C983" i="3"/>
  <c r="E983" i="3" s="1"/>
  <c r="C984" i="3"/>
  <c r="E984" i="3" s="1"/>
  <c r="C985" i="3"/>
  <c r="E985" i="3" s="1"/>
  <c r="C986" i="3"/>
  <c r="E986" i="3" s="1"/>
  <c r="C987" i="3"/>
  <c r="E987" i="3" s="1"/>
  <c r="C988" i="3"/>
  <c r="E988" i="3" s="1"/>
  <c r="C989" i="3"/>
  <c r="E989" i="3" s="1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E1025" i="3" s="1"/>
  <c r="C1026" i="3"/>
  <c r="E1026" i="3" s="1"/>
  <c r="C1027" i="3"/>
  <c r="E1027" i="3" s="1"/>
  <c r="C1028" i="3"/>
  <c r="E1028" i="3" s="1"/>
  <c r="C1029" i="3"/>
  <c r="E1029" i="3" s="1"/>
  <c r="C1030" i="3"/>
  <c r="E1030" i="3" s="1"/>
  <c r="C1031" i="3"/>
  <c r="E1031" i="3" s="1"/>
  <c r="C1032" i="3"/>
  <c r="E1032" i="3" s="1"/>
  <c r="C1033" i="3"/>
  <c r="E1033" i="3" s="1"/>
  <c r="C1034" i="3"/>
  <c r="E1034" i="3" s="1"/>
  <c r="C1035" i="3"/>
  <c r="E1035" i="3" s="1"/>
  <c r="C1036" i="3"/>
  <c r="E1036" i="3" s="1"/>
  <c r="C1037" i="3"/>
  <c r="E1037" i="3" s="1"/>
  <c r="C1038" i="3"/>
  <c r="E1038" i="3" s="1"/>
  <c r="C1039" i="3"/>
  <c r="E1039" i="3" s="1"/>
  <c r="C1040" i="3"/>
  <c r="E1040" i="3" s="1"/>
  <c r="C1041" i="3"/>
  <c r="E1041" i="3" s="1"/>
  <c r="C1042" i="3"/>
  <c r="E1042" i="3" s="1"/>
  <c r="C1043" i="3"/>
  <c r="E1043" i="3" s="1"/>
  <c r="C1044" i="3"/>
  <c r="E1044" i="3" s="1"/>
  <c r="C1045" i="3"/>
  <c r="E1045" i="3" s="1"/>
  <c r="C1046" i="3"/>
  <c r="E1046" i="3" s="1"/>
  <c r="C1047" i="3"/>
  <c r="E1047" i="3" s="1"/>
  <c r="C1048" i="3"/>
  <c r="E1048" i="3" s="1"/>
  <c r="C1049" i="3"/>
  <c r="E1049" i="3" s="1"/>
  <c r="C1050" i="3"/>
  <c r="E1050" i="3" s="1"/>
  <c r="C1051" i="3"/>
  <c r="E1051" i="3" s="1"/>
  <c r="C1052" i="3"/>
  <c r="E1052" i="3" s="1"/>
  <c r="C1053" i="3"/>
  <c r="E1053" i="3" s="1"/>
  <c r="C1054" i="3"/>
  <c r="E1054" i="3" s="1"/>
  <c r="C1055" i="3"/>
  <c r="E1055" i="3" s="1"/>
  <c r="C1056" i="3"/>
  <c r="E1056" i="3" s="1"/>
  <c r="C1057" i="3"/>
  <c r="E1057" i="3" s="1"/>
  <c r="C1058" i="3"/>
  <c r="E1058" i="3" s="1"/>
  <c r="C1059" i="3"/>
  <c r="E1059" i="3" s="1"/>
  <c r="C1060" i="3"/>
  <c r="E1060" i="3" s="1"/>
  <c r="C1061" i="3"/>
  <c r="E1061" i="3" s="1"/>
  <c r="C1062" i="3"/>
  <c r="E1062" i="3" s="1"/>
  <c r="C1063" i="3"/>
  <c r="E1063" i="3" s="1"/>
  <c r="C1064" i="3"/>
  <c r="E1064" i="3" s="1"/>
  <c r="C1065" i="3"/>
  <c r="E1065" i="3" s="1"/>
  <c r="C1066" i="3"/>
  <c r="E1066" i="3" s="1"/>
  <c r="C1067" i="3"/>
  <c r="E1067" i="3" s="1"/>
  <c r="C1068" i="3"/>
  <c r="E1068" i="3" s="1"/>
  <c r="C1069" i="3"/>
  <c r="E1069" i="3" s="1"/>
  <c r="C1070" i="3"/>
  <c r="E1070" i="3" s="1"/>
  <c r="C1071" i="3"/>
  <c r="E1071" i="3" s="1"/>
  <c r="C1072" i="3"/>
  <c r="E1072" i="3" s="1"/>
  <c r="C1073" i="3"/>
  <c r="E1073" i="3" s="1"/>
  <c r="C1074" i="3"/>
  <c r="E1074" i="3" s="1"/>
  <c r="C1075" i="3"/>
  <c r="E1075" i="3" s="1"/>
  <c r="C1076" i="3"/>
  <c r="E1076" i="3" s="1"/>
  <c r="C1077" i="3"/>
  <c r="E1077" i="3" s="1"/>
  <c r="C1078" i="3"/>
  <c r="E1078" i="3" s="1"/>
  <c r="C1079" i="3"/>
  <c r="E1079" i="3" s="1"/>
  <c r="C1080" i="3"/>
  <c r="E1080" i="3" s="1"/>
  <c r="C1081" i="3"/>
  <c r="E1081" i="3" s="1"/>
  <c r="C1082" i="3"/>
  <c r="E1082" i="3" s="1"/>
  <c r="C1083" i="3"/>
  <c r="E1083" i="3" s="1"/>
  <c r="C1084" i="3"/>
  <c r="E1084" i="3" s="1"/>
  <c r="C1085" i="3"/>
  <c r="E1085" i="3" s="1"/>
  <c r="C1086" i="3"/>
  <c r="E1086" i="3" s="1"/>
  <c r="C1087" i="3"/>
  <c r="E1087" i="3" s="1"/>
  <c r="C1088" i="3"/>
  <c r="E1088" i="3" s="1"/>
  <c r="C1089" i="3"/>
  <c r="E1089" i="3" s="1"/>
  <c r="C1090" i="3"/>
  <c r="E1090" i="3" s="1"/>
  <c r="C1091" i="3"/>
  <c r="E1091" i="3" s="1"/>
  <c r="C1092" i="3"/>
  <c r="E1092" i="3" s="1"/>
  <c r="C1093" i="3"/>
  <c r="E1093" i="3" s="1"/>
  <c r="C1094" i="3"/>
  <c r="E1094" i="3" s="1"/>
  <c r="C1095" i="3"/>
  <c r="E1095" i="3" s="1"/>
  <c r="C1096" i="3"/>
  <c r="E1096" i="3" s="1"/>
  <c r="C1097" i="3"/>
  <c r="E1097" i="3" s="1"/>
  <c r="C1098" i="3"/>
  <c r="E1098" i="3" s="1"/>
  <c r="C1099" i="3"/>
  <c r="E1099" i="3" s="1"/>
  <c r="C1100" i="3"/>
  <c r="E1100" i="3" s="1"/>
  <c r="C1101" i="3"/>
  <c r="E1101" i="3" s="1"/>
  <c r="C1102" i="3"/>
  <c r="E1102" i="3" s="1"/>
  <c r="C1103" i="3"/>
  <c r="E1103" i="3" s="1"/>
  <c r="C1104" i="3"/>
  <c r="E1104" i="3" s="1"/>
  <c r="C1105" i="3"/>
  <c r="E1105" i="3" s="1"/>
  <c r="C1106" i="3"/>
  <c r="E1106" i="3" s="1"/>
  <c r="C1107" i="3"/>
  <c r="E1107" i="3" s="1"/>
  <c r="C1108" i="3"/>
  <c r="E1108" i="3" s="1"/>
  <c r="C1109" i="3"/>
  <c r="E1109" i="3" s="1"/>
  <c r="C1110" i="3"/>
  <c r="E1110" i="3" s="1"/>
  <c r="C1111" i="3"/>
  <c r="E1111" i="3" s="1"/>
  <c r="C1112" i="3"/>
  <c r="E1112" i="3" s="1"/>
  <c r="C1113" i="3"/>
  <c r="E1113" i="3" s="1"/>
  <c r="C1114" i="3"/>
  <c r="E1114" i="3" s="1"/>
  <c r="C1115" i="3"/>
  <c r="E1115" i="3" s="1"/>
  <c r="C1116" i="3"/>
  <c r="E1116" i="3" s="1"/>
  <c r="C1117" i="3"/>
  <c r="E1117" i="3" s="1"/>
  <c r="C1118" i="3"/>
  <c r="E1118" i="3" s="1"/>
  <c r="C1119" i="3"/>
  <c r="E1119" i="3" s="1"/>
  <c r="C1120" i="3"/>
  <c r="E1120" i="3" s="1"/>
  <c r="C1121" i="3"/>
  <c r="E1121" i="3" s="1"/>
  <c r="C1122" i="3"/>
  <c r="E1122" i="3" s="1"/>
  <c r="C1123" i="3"/>
  <c r="E1123" i="3" s="1"/>
  <c r="C1124" i="3"/>
  <c r="E1124" i="3" s="1"/>
  <c r="C1125" i="3"/>
  <c r="E1125" i="3" s="1"/>
  <c r="C1126" i="3"/>
  <c r="E1126" i="3" s="1"/>
  <c r="C1127" i="3"/>
  <c r="E1127" i="3" s="1"/>
  <c r="C1128" i="3"/>
  <c r="E1128" i="3" s="1"/>
  <c r="C1129" i="3"/>
  <c r="E1129" i="3" s="1"/>
  <c r="C1130" i="3"/>
  <c r="E1130" i="3" s="1"/>
  <c r="C1131" i="3"/>
  <c r="E1131" i="3" s="1"/>
  <c r="C1132" i="3"/>
  <c r="E1132" i="3" s="1"/>
  <c r="C1133" i="3"/>
  <c r="E1133" i="3" s="1"/>
  <c r="C1134" i="3"/>
  <c r="E1134" i="3" s="1"/>
  <c r="C1135" i="3"/>
  <c r="E1135" i="3" s="1"/>
  <c r="C1136" i="3"/>
  <c r="E1136" i="3" s="1"/>
  <c r="C1137" i="3"/>
  <c r="E1137" i="3" s="1"/>
  <c r="C1138" i="3"/>
  <c r="E1138" i="3" s="1"/>
  <c r="C1139" i="3"/>
  <c r="E1139" i="3" s="1"/>
  <c r="C1140" i="3"/>
  <c r="E1140" i="3" s="1"/>
  <c r="C1141" i="3"/>
  <c r="E1141" i="3" s="1"/>
  <c r="C1142" i="3"/>
  <c r="E1142" i="3" s="1"/>
  <c r="C1143" i="3"/>
  <c r="E1143" i="3" s="1"/>
  <c r="C1144" i="3"/>
  <c r="E1144" i="3" s="1"/>
  <c r="C1145" i="3"/>
  <c r="E1145" i="3" s="1"/>
  <c r="C1146" i="3"/>
  <c r="E1146" i="3" s="1"/>
  <c r="C1147" i="3"/>
  <c r="E1147" i="3" s="1"/>
  <c r="C1148" i="3"/>
  <c r="E1148" i="3" s="1"/>
  <c r="C1149" i="3"/>
  <c r="E1149" i="3" s="1"/>
  <c r="C1150" i="3"/>
  <c r="E1150" i="3" s="1"/>
  <c r="C1151" i="3"/>
  <c r="E1151" i="3" s="1"/>
  <c r="C1152" i="3"/>
  <c r="E1152" i="3" s="1"/>
  <c r="C1153" i="3"/>
  <c r="E1153" i="3" s="1"/>
  <c r="C1154" i="3"/>
  <c r="E1154" i="3" s="1"/>
  <c r="C1155" i="3"/>
  <c r="E1155" i="3" s="1"/>
  <c r="C1156" i="3"/>
  <c r="E1156" i="3" s="1"/>
  <c r="C1157" i="3"/>
  <c r="E1157" i="3" s="1"/>
  <c r="C1158" i="3"/>
  <c r="E1158" i="3" s="1"/>
  <c r="C1159" i="3"/>
  <c r="E1159" i="3" s="1"/>
  <c r="C1160" i="3"/>
  <c r="E1160" i="3" s="1"/>
  <c r="C1161" i="3"/>
  <c r="E1161" i="3" s="1"/>
  <c r="C1162" i="3"/>
  <c r="E1162" i="3" s="1"/>
  <c r="C1163" i="3"/>
  <c r="E1163" i="3" s="1"/>
  <c r="C1164" i="3"/>
  <c r="E1164" i="3" s="1"/>
  <c r="C1165" i="3"/>
  <c r="E1165" i="3" s="1"/>
  <c r="C1166" i="3"/>
  <c r="E1166" i="3" s="1"/>
  <c r="C1167" i="3"/>
  <c r="E1167" i="3" s="1"/>
  <c r="C1168" i="3"/>
  <c r="E1168" i="3" s="1"/>
  <c r="C1169" i="3"/>
  <c r="E1169" i="3" s="1"/>
  <c r="C1170" i="3"/>
  <c r="E1170" i="3" s="1"/>
  <c r="C1171" i="3"/>
  <c r="E1171" i="3" s="1"/>
  <c r="C1172" i="3"/>
  <c r="E1172" i="3" s="1"/>
  <c r="C1173" i="3"/>
  <c r="E1173" i="3" s="1"/>
  <c r="C1174" i="3"/>
  <c r="E1174" i="3" s="1"/>
  <c r="C1175" i="3"/>
  <c r="E1175" i="3" s="1"/>
  <c r="C1176" i="3"/>
  <c r="E1176" i="3" s="1"/>
  <c r="C1177" i="3"/>
  <c r="E1177" i="3" s="1"/>
  <c r="C1178" i="3"/>
  <c r="E1178" i="3" s="1"/>
  <c r="C1179" i="3"/>
  <c r="E1179" i="3" s="1"/>
  <c r="C1180" i="3"/>
  <c r="E1180" i="3" s="1"/>
  <c r="C1181" i="3"/>
  <c r="E1181" i="3" s="1"/>
  <c r="C1182" i="3"/>
  <c r="E1182" i="3" s="1"/>
  <c r="C1183" i="3"/>
  <c r="E1183" i="3" s="1"/>
  <c r="C1184" i="3"/>
  <c r="E1184" i="3" s="1"/>
  <c r="C1185" i="3"/>
  <c r="E1185" i="3" s="1"/>
  <c r="C1186" i="3"/>
  <c r="E1186" i="3" s="1"/>
  <c r="C1187" i="3"/>
  <c r="E1187" i="3" s="1"/>
  <c r="C1188" i="3"/>
  <c r="E1188" i="3" s="1"/>
  <c r="C1189" i="3"/>
  <c r="E1189" i="3" s="1"/>
  <c r="C1190" i="3"/>
  <c r="E1190" i="3" s="1"/>
  <c r="C1191" i="3"/>
  <c r="E1191" i="3" s="1"/>
  <c r="C1192" i="3"/>
  <c r="E1192" i="3" s="1"/>
  <c r="C1193" i="3"/>
  <c r="E1193" i="3" s="1"/>
  <c r="C1194" i="3"/>
  <c r="E1194" i="3" s="1"/>
  <c r="C1195" i="3"/>
  <c r="E1195" i="3" s="1"/>
  <c r="C1196" i="3"/>
  <c r="E1196" i="3" s="1"/>
  <c r="C1197" i="3"/>
  <c r="E1197" i="3" s="1"/>
  <c r="C1198" i="3"/>
  <c r="E1198" i="3" s="1"/>
  <c r="C1199" i="3"/>
  <c r="E1199" i="3" s="1"/>
  <c r="C1200" i="3"/>
  <c r="E1200" i="3" s="1"/>
  <c r="C1201" i="3"/>
  <c r="E1201" i="3" s="1"/>
  <c r="C1202" i="3"/>
  <c r="E1202" i="3" s="1"/>
  <c r="C1203" i="3"/>
  <c r="E1203" i="3" s="1"/>
  <c r="C1204" i="3"/>
  <c r="E1204" i="3" s="1"/>
  <c r="C1205" i="3"/>
  <c r="E1205" i="3" s="1"/>
  <c r="C1206" i="3"/>
  <c r="E1206" i="3" s="1"/>
  <c r="C1207" i="3"/>
  <c r="E1207" i="3" s="1"/>
  <c r="C1208" i="3"/>
  <c r="E1208" i="3" s="1"/>
  <c r="C1209" i="3"/>
  <c r="E1209" i="3" s="1"/>
  <c r="C1210" i="3"/>
  <c r="E1210" i="3" s="1"/>
  <c r="C1211" i="3"/>
  <c r="E1211" i="3" s="1"/>
  <c r="C1212" i="3"/>
  <c r="E1212" i="3" s="1"/>
  <c r="C1213" i="3"/>
  <c r="E1213" i="3" s="1"/>
  <c r="C1214" i="3"/>
  <c r="E1214" i="3" s="1"/>
  <c r="C1215" i="3"/>
  <c r="E1215" i="3" s="1"/>
  <c r="C1216" i="3"/>
  <c r="E1216" i="3" s="1"/>
  <c r="C1217" i="3"/>
  <c r="E1217" i="3" s="1"/>
  <c r="C1218" i="3"/>
  <c r="E1218" i="3" s="1"/>
  <c r="C1219" i="3"/>
  <c r="E1219" i="3" s="1"/>
  <c r="C1220" i="3"/>
  <c r="E1220" i="3" s="1"/>
  <c r="C1221" i="3"/>
  <c r="E1221" i="3" s="1"/>
  <c r="C1222" i="3"/>
  <c r="E1222" i="3" s="1"/>
  <c r="C1223" i="3"/>
  <c r="E1223" i="3" s="1"/>
  <c r="C1224" i="3"/>
  <c r="E1224" i="3" s="1"/>
  <c r="C1225" i="3"/>
  <c r="E1225" i="3" s="1"/>
  <c r="C1226" i="3"/>
  <c r="E1226" i="3" s="1"/>
  <c r="C1227" i="3"/>
  <c r="E1227" i="3" s="1"/>
  <c r="C1228" i="3"/>
  <c r="E1228" i="3" s="1"/>
  <c r="C1229" i="3"/>
  <c r="E1229" i="3" s="1"/>
  <c r="C1230" i="3"/>
  <c r="E1230" i="3" s="1"/>
  <c r="C1231" i="3"/>
  <c r="E1231" i="3" s="1"/>
  <c r="C1232" i="3"/>
  <c r="E1232" i="3" s="1"/>
  <c r="C1233" i="3"/>
  <c r="E1233" i="3" s="1"/>
  <c r="C1234" i="3"/>
  <c r="E1234" i="3" s="1"/>
  <c r="C1235" i="3"/>
  <c r="E1235" i="3" s="1"/>
  <c r="C1236" i="3"/>
  <c r="E1236" i="3" s="1"/>
  <c r="C1237" i="3"/>
  <c r="E1237" i="3" s="1"/>
  <c r="C1238" i="3"/>
  <c r="E1238" i="3" s="1"/>
  <c r="C1239" i="3"/>
  <c r="E1239" i="3" s="1"/>
  <c r="C1240" i="3"/>
  <c r="E1240" i="3" s="1"/>
  <c r="C1241" i="3"/>
  <c r="E1241" i="3" s="1"/>
  <c r="C1242" i="3"/>
  <c r="E1242" i="3" s="1"/>
  <c r="C1243" i="3"/>
  <c r="E1243" i="3" s="1"/>
  <c r="C1244" i="3"/>
  <c r="E1244" i="3" s="1"/>
  <c r="C1245" i="3"/>
  <c r="E1245" i="3" s="1"/>
  <c r="C1246" i="3"/>
  <c r="E1246" i="3" s="1"/>
  <c r="C1247" i="3"/>
  <c r="E1247" i="3" s="1"/>
  <c r="C1248" i="3"/>
  <c r="E1248" i="3" s="1"/>
  <c r="C1249" i="3"/>
  <c r="E1249" i="3" s="1"/>
  <c r="C1250" i="3"/>
  <c r="E1250" i="3" s="1"/>
  <c r="C1251" i="3"/>
  <c r="E1251" i="3" s="1"/>
  <c r="C1252" i="3"/>
  <c r="E1252" i="3" s="1"/>
  <c r="C1253" i="3"/>
  <c r="E1253" i="3" s="1"/>
  <c r="C1254" i="3"/>
  <c r="E1254" i="3" s="1"/>
  <c r="C1255" i="3"/>
  <c r="E1255" i="3" s="1"/>
  <c r="C1256" i="3"/>
  <c r="E1256" i="3" s="1"/>
  <c r="C1257" i="3"/>
  <c r="E1257" i="3" s="1"/>
  <c r="C1258" i="3"/>
  <c r="E1258" i="3" s="1"/>
  <c r="C1259" i="3"/>
  <c r="E1259" i="3" s="1"/>
  <c r="C1260" i="3"/>
  <c r="E1260" i="3" s="1"/>
  <c r="C1261" i="3"/>
  <c r="E1261" i="3" s="1"/>
  <c r="C1262" i="3"/>
  <c r="E1262" i="3" s="1"/>
  <c r="C1263" i="3"/>
  <c r="E1263" i="3" s="1"/>
  <c r="C1264" i="3"/>
  <c r="E1264" i="3" s="1"/>
  <c r="C1265" i="3"/>
  <c r="E1265" i="3" s="1"/>
  <c r="C1266" i="3"/>
  <c r="E1266" i="3" s="1"/>
  <c r="C1267" i="3"/>
  <c r="E1267" i="3" s="1"/>
  <c r="C1268" i="3"/>
  <c r="E1268" i="3" s="1"/>
  <c r="C1269" i="3"/>
  <c r="E1269" i="3" s="1"/>
  <c r="C1270" i="3"/>
  <c r="E1270" i="3" s="1"/>
  <c r="C1271" i="3"/>
  <c r="E1271" i="3" s="1"/>
  <c r="C1272" i="3"/>
  <c r="E1272" i="3" s="1"/>
  <c r="C1273" i="3"/>
  <c r="E1273" i="3" s="1"/>
  <c r="C1274" i="3"/>
  <c r="E1274" i="3" s="1"/>
  <c r="C1275" i="3"/>
  <c r="E1275" i="3" s="1"/>
  <c r="C1276" i="3"/>
  <c r="E1276" i="3" s="1"/>
  <c r="C1277" i="3"/>
  <c r="E1277" i="3" s="1"/>
  <c r="C1278" i="3"/>
  <c r="E1278" i="3" s="1"/>
  <c r="C1279" i="3"/>
  <c r="E1279" i="3" s="1"/>
  <c r="C1280" i="3"/>
  <c r="E1280" i="3" s="1"/>
  <c r="C1281" i="3"/>
  <c r="E1281" i="3" s="1"/>
  <c r="C1282" i="3"/>
  <c r="E1282" i="3" s="1"/>
  <c r="C1283" i="3"/>
  <c r="E1283" i="3" s="1"/>
  <c r="C1284" i="3"/>
  <c r="E1284" i="3" s="1"/>
  <c r="C1285" i="3"/>
  <c r="E1285" i="3" s="1"/>
  <c r="C1286" i="3"/>
  <c r="E1286" i="3" s="1"/>
  <c r="C1287" i="3"/>
  <c r="E1287" i="3" s="1"/>
  <c r="C1288" i="3"/>
  <c r="E1288" i="3" s="1"/>
  <c r="C1289" i="3"/>
  <c r="E1289" i="3" s="1"/>
  <c r="C1290" i="3"/>
  <c r="E1290" i="3" s="1"/>
  <c r="C1291" i="3"/>
  <c r="E1291" i="3" s="1"/>
  <c r="C1292" i="3"/>
  <c r="E1292" i="3" s="1"/>
  <c r="C1293" i="3"/>
  <c r="E1293" i="3" s="1"/>
  <c r="C1294" i="3"/>
  <c r="E1294" i="3" s="1"/>
  <c r="C1295" i="3"/>
  <c r="E1295" i="3" s="1"/>
  <c r="C1296" i="3"/>
  <c r="E1296" i="3" s="1"/>
  <c r="C1297" i="3"/>
  <c r="E1297" i="3" s="1"/>
  <c r="C1298" i="3"/>
  <c r="E1298" i="3" s="1"/>
  <c r="C1299" i="3"/>
  <c r="E1299" i="3" s="1"/>
  <c r="C1300" i="3"/>
  <c r="E1300" i="3" s="1"/>
  <c r="C1301" i="3"/>
  <c r="E1301" i="3" s="1"/>
  <c r="C1302" i="3"/>
  <c r="E1302" i="3" s="1"/>
  <c r="C1303" i="3"/>
  <c r="E1303" i="3" s="1"/>
  <c r="C1304" i="3"/>
  <c r="E1304" i="3" s="1"/>
  <c r="C1305" i="3"/>
  <c r="E1305" i="3" s="1"/>
  <c r="C1306" i="3"/>
  <c r="E1306" i="3" s="1"/>
  <c r="C1307" i="3"/>
  <c r="E1307" i="3" s="1"/>
  <c r="C1308" i="3"/>
  <c r="E1308" i="3" s="1"/>
  <c r="C1309" i="3"/>
  <c r="E1309" i="3" s="1"/>
  <c r="C1310" i="3"/>
  <c r="E1310" i="3" s="1"/>
  <c r="C1311" i="3"/>
  <c r="E1311" i="3" s="1"/>
  <c r="C1312" i="3"/>
  <c r="E1312" i="3" s="1"/>
  <c r="C1313" i="3"/>
  <c r="E1313" i="3" s="1"/>
  <c r="C1314" i="3"/>
  <c r="E1314" i="3" s="1"/>
  <c r="C1315" i="3"/>
  <c r="E1315" i="3" s="1"/>
  <c r="C1316" i="3"/>
  <c r="E1316" i="3" s="1"/>
  <c r="C1317" i="3"/>
  <c r="E1317" i="3" s="1"/>
  <c r="C1318" i="3"/>
  <c r="E1318" i="3" s="1"/>
  <c r="E612" i="3" l="1"/>
  <c r="E615" i="3"/>
  <c r="E616" i="3"/>
  <c r="E617" i="3"/>
  <c r="E613" i="3"/>
  <c r="E614" i="3"/>
  <c r="E618" i="3"/>
  <c r="E621" i="3"/>
  <c r="E622" i="3"/>
  <c r="E623" i="3"/>
  <c r="E624" i="3"/>
  <c r="E625" i="3"/>
  <c r="E626" i="3"/>
  <c r="E627" i="3"/>
  <c r="E628" i="3"/>
  <c r="E629" i="3"/>
  <c r="E630" i="3"/>
  <c r="E583" i="3"/>
  <c r="E586" i="3"/>
  <c r="E581" i="3"/>
  <c r="E579" i="3"/>
  <c r="E619" i="3"/>
  <c r="E62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571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528" i="3"/>
  <c r="D530" i="3"/>
  <c r="E530" i="3" s="1"/>
  <c r="E507" i="3"/>
  <c r="D524" i="3"/>
  <c r="E524" i="3" s="1"/>
  <c r="D516" i="3"/>
  <c r="E516" i="3" s="1"/>
  <c r="D531" i="3"/>
  <c r="E531" i="3" s="1"/>
  <c r="D515" i="3"/>
  <c r="E515" i="3" s="1"/>
  <c r="D522" i="3"/>
  <c r="E522" i="3" s="1"/>
  <c r="D529" i="3"/>
  <c r="E529" i="3" s="1"/>
  <c r="D521" i="3"/>
  <c r="E521" i="3" s="1"/>
  <c r="D520" i="3"/>
  <c r="E520" i="3" s="1"/>
  <c r="D512" i="3"/>
  <c r="E512" i="3" s="1"/>
  <c r="D527" i="3"/>
  <c r="E527" i="3" s="1"/>
  <c r="D519" i="3"/>
  <c r="E519" i="3" s="1"/>
  <c r="D511" i="3"/>
  <c r="E511" i="3" s="1"/>
  <c r="E525" i="3"/>
  <c r="D509" i="3"/>
  <c r="E509" i="3" s="1"/>
  <c r="E501" i="3"/>
  <c r="D510" i="3"/>
  <c r="E510" i="3" s="1"/>
  <c r="D508" i="3"/>
  <c r="E508" i="3" s="1"/>
  <c r="E498" i="3"/>
  <c r="D503" i="3"/>
  <c r="E503" i="3" s="1"/>
  <c r="E504" i="3"/>
  <c r="E502" i="3"/>
  <c r="E500" i="3"/>
  <c r="D506" i="3"/>
  <c r="E506" i="3" s="1"/>
  <c r="E499" i="3"/>
  <c r="D497" i="3"/>
  <c r="E497" i="3" s="1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2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78" i="3"/>
  <c r="P279" i="3"/>
  <c r="P280" i="3"/>
  <c r="P281" i="3"/>
  <c r="P282" i="3"/>
  <c r="P283" i="3"/>
  <c r="P284" i="3"/>
  <c r="P285" i="3"/>
  <c r="P286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1" i="3"/>
  <c r="P472" i="3"/>
  <c r="P473" i="3"/>
  <c r="P474" i="3"/>
  <c r="P475" i="3"/>
  <c r="P476" i="3"/>
  <c r="P477" i="3"/>
  <c r="P478" i="3"/>
  <c r="P479" i="3"/>
  <c r="P480" i="3"/>
  <c r="P481" i="3"/>
  <c r="P482" i="3"/>
  <c r="P483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6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236" i="3"/>
  <c r="O237" i="3"/>
  <c r="O238" i="3"/>
  <c r="O239" i="3"/>
  <c r="O240" i="3"/>
  <c r="O241" i="3"/>
  <c r="O242" i="3"/>
  <c r="O243" i="3"/>
  <c r="O244" i="3"/>
  <c r="O245" i="3"/>
  <c r="O246" i="3"/>
  <c r="O247" i="3"/>
  <c r="O248" i="3"/>
  <c r="O249" i="3"/>
  <c r="O250" i="3"/>
  <c r="O251" i="3"/>
  <c r="O252" i="3"/>
  <c r="O253" i="3"/>
  <c r="O254" i="3"/>
  <c r="O255" i="3"/>
  <c r="O256" i="3"/>
  <c r="O257" i="3"/>
  <c r="O258" i="3"/>
  <c r="O259" i="3"/>
  <c r="O260" i="3"/>
  <c r="O261" i="3"/>
  <c r="O262" i="3"/>
  <c r="O263" i="3"/>
  <c r="O264" i="3"/>
  <c r="O265" i="3"/>
  <c r="O266" i="3"/>
  <c r="O267" i="3"/>
  <c r="O268" i="3"/>
  <c r="O269" i="3"/>
  <c r="O270" i="3"/>
  <c r="O271" i="3"/>
  <c r="O272" i="3"/>
  <c r="O273" i="3"/>
  <c r="O274" i="3"/>
  <c r="O275" i="3"/>
  <c r="O276" i="3"/>
  <c r="O277" i="3"/>
  <c r="O278" i="3"/>
  <c r="O279" i="3"/>
  <c r="O280" i="3"/>
  <c r="O281" i="3"/>
  <c r="O282" i="3"/>
  <c r="O283" i="3"/>
  <c r="O284" i="3"/>
  <c r="O285" i="3"/>
  <c r="O286" i="3"/>
  <c r="O287" i="3"/>
  <c r="O288" i="3"/>
  <c r="O289" i="3"/>
  <c r="O290" i="3"/>
  <c r="O291" i="3"/>
  <c r="O292" i="3"/>
  <c r="O293" i="3"/>
  <c r="O294" i="3"/>
  <c r="O295" i="3"/>
  <c r="O296" i="3"/>
  <c r="O297" i="3"/>
  <c r="O298" i="3"/>
  <c r="O299" i="3"/>
  <c r="O300" i="3"/>
  <c r="O301" i="3"/>
  <c r="O302" i="3"/>
  <c r="O303" i="3"/>
  <c r="O304" i="3"/>
  <c r="O305" i="3"/>
  <c r="O306" i="3"/>
  <c r="O307" i="3"/>
  <c r="O308" i="3"/>
  <c r="O309" i="3"/>
  <c r="O310" i="3"/>
  <c r="O311" i="3"/>
  <c r="O312" i="3"/>
  <c r="O313" i="3"/>
  <c r="O314" i="3"/>
  <c r="O315" i="3"/>
  <c r="O316" i="3"/>
  <c r="O317" i="3"/>
  <c r="O318" i="3"/>
  <c r="O319" i="3"/>
  <c r="O320" i="3"/>
  <c r="O321" i="3"/>
  <c r="O322" i="3"/>
  <c r="O323" i="3"/>
  <c r="O324" i="3"/>
  <c r="O325" i="3"/>
  <c r="O326" i="3"/>
  <c r="O327" i="3"/>
  <c r="O328" i="3"/>
  <c r="O329" i="3"/>
  <c r="O330" i="3"/>
  <c r="O331" i="3"/>
  <c r="O332" i="3"/>
  <c r="O333" i="3"/>
  <c r="O334" i="3"/>
  <c r="O335" i="3"/>
  <c r="O336" i="3"/>
  <c r="O337" i="3"/>
  <c r="O338" i="3"/>
  <c r="O339" i="3"/>
  <c r="O340" i="3"/>
  <c r="O341" i="3"/>
  <c r="O342" i="3"/>
  <c r="O343" i="3"/>
  <c r="O344" i="3"/>
  <c r="O345" i="3"/>
  <c r="O346" i="3"/>
  <c r="O347" i="3"/>
  <c r="O348" i="3"/>
  <c r="O349" i="3"/>
  <c r="O350" i="3"/>
  <c r="O351" i="3"/>
  <c r="O352" i="3"/>
  <c r="O353" i="3"/>
  <c r="O354" i="3"/>
  <c r="O355" i="3"/>
  <c r="O356" i="3"/>
  <c r="O357" i="3"/>
  <c r="O358" i="3"/>
  <c r="O359" i="3"/>
  <c r="O360" i="3"/>
  <c r="O361" i="3"/>
  <c r="O362" i="3"/>
  <c r="O363" i="3"/>
  <c r="O364" i="3"/>
  <c r="O365" i="3"/>
  <c r="O366" i="3"/>
  <c r="O367" i="3"/>
  <c r="O368" i="3"/>
  <c r="O369" i="3"/>
  <c r="O370" i="3"/>
  <c r="O371" i="3"/>
  <c r="O372" i="3"/>
  <c r="O373" i="3"/>
  <c r="O374" i="3"/>
  <c r="O375" i="3"/>
  <c r="O376" i="3"/>
  <c r="O377" i="3"/>
  <c r="O378" i="3"/>
  <c r="O379" i="3"/>
  <c r="O380" i="3"/>
  <c r="O381" i="3"/>
  <c r="O382" i="3"/>
  <c r="O383" i="3"/>
  <c r="O384" i="3"/>
  <c r="O385" i="3"/>
  <c r="O386" i="3"/>
  <c r="O387" i="3"/>
  <c r="O388" i="3"/>
  <c r="O389" i="3"/>
  <c r="O390" i="3"/>
  <c r="O391" i="3"/>
  <c r="O392" i="3"/>
  <c r="O393" i="3"/>
  <c r="O394" i="3"/>
  <c r="O395" i="3"/>
  <c r="O396" i="3"/>
  <c r="O397" i="3"/>
  <c r="O398" i="3"/>
  <c r="O399" i="3"/>
  <c r="O400" i="3"/>
  <c r="O401" i="3"/>
  <c r="O402" i="3"/>
  <c r="O403" i="3"/>
  <c r="O404" i="3"/>
  <c r="O405" i="3"/>
  <c r="O406" i="3"/>
  <c r="O407" i="3"/>
  <c r="O408" i="3"/>
  <c r="O409" i="3"/>
  <c r="O410" i="3"/>
  <c r="O411" i="3"/>
  <c r="O412" i="3"/>
  <c r="O413" i="3"/>
  <c r="O414" i="3"/>
  <c r="O415" i="3"/>
  <c r="O416" i="3"/>
  <c r="O417" i="3"/>
  <c r="O418" i="3"/>
  <c r="O419" i="3"/>
  <c r="O420" i="3"/>
  <c r="O421" i="3"/>
  <c r="O422" i="3"/>
  <c r="O423" i="3"/>
  <c r="O424" i="3"/>
  <c r="O425" i="3"/>
  <c r="O426" i="3"/>
  <c r="O427" i="3"/>
  <c r="O428" i="3"/>
  <c r="O429" i="3"/>
  <c r="O430" i="3"/>
  <c r="O431" i="3"/>
  <c r="O432" i="3"/>
  <c r="O433" i="3"/>
  <c r="O434" i="3"/>
  <c r="O435" i="3"/>
  <c r="O436" i="3"/>
  <c r="O437" i="3"/>
  <c r="O438" i="3"/>
  <c r="O439" i="3"/>
  <c r="O440" i="3"/>
  <c r="O441" i="3"/>
  <c r="O442" i="3"/>
  <c r="O443" i="3"/>
  <c r="O444" i="3"/>
  <c r="O445" i="3"/>
  <c r="O446" i="3"/>
  <c r="O447" i="3"/>
  <c r="O448" i="3"/>
  <c r="O449" i="3"/>
  <c r="O450" i="3"/>
  <c r="O451" i="3"/>
  <c r="O452" i="3"/>
  <c r="O453" i="3"/>
  <c r="O454" i="3"/>
  <c r="O455" i="3"/>
  <c r="O456" i="3"/>
  <c r="O457" i="3"/>
  <c r="O458" i="3"/>
  <c r="O459" i="3"/>
  <c r="O460" i="3"/>
  <c r="O461" i="3"/>
  <c r="O462" i="3"/>
  <c r="O463" i="3"/>
  <c r="O464" i="3"/>
  <c r="O465" i="3"/>
  <c r="O466" i="3"/>
  <c r="O467" i="3"/>
  <c r="O468" i="3"/>
  <c r="O469" i="3"/>
  <c r="O470" i="3"/>
  <c r="O471" i="3"/>
  <c r="O472" i="3"/>
  <c r="O473" i="3"/>
  <c r="O474" i="3"/>
  <c r="O475" i="3"/>
  <c r="O476" i="3"/>
  <c r="O477" i="3"/>
  <c r="O478" i="3"/>
  <c r="O479" i="3"/>
  <c r="O480" i="3"/>
  <c r="O481" i="3"/>
  <c r="O482" i="3"/>
  <c r="O483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2" i="3" l="1"/>
  <c r="AB5" i="3" l="1"/>
  <c r="L11" i="2" s="1"/>
  <c r="X11" i="3"/>
  <c r="W11" i="3"/>
  <c r="V11" i="3"/>
  <c r="U11" i="3"/>
  <c r="X10" i="3"/>
  <c r="W10" i="3"/>
  <c r="V10" i="3"/>
  <c r="U10" i="3"/>
  <c r="X9" i="3"/>
  <c r="W9" i="3"/>
  <c r="V9" i="3"/>
  <c r="U9" i="3"/>
  <c r="X8" i="3"/>
  <c r="W8" i="3"/>
  <c r="V8" i="3"/>
  <c r="U8" i="3"/>
  <c r="X7" i="3"/>
  <c r="W7" i="3"/>
  <c r="V7" i="3"/>
  <c r="U7" i="3"/>
  <c r="X6" i="3"/>
  <c r="W6" i="3"/>
  <c r="V6" i="3"/>
  <c r="U6" i="3"/>
  <c r="X5" i="3"/>
  <c r="W5" i="3"/>
  <c r="V5" i="3"/>
  <c r="U5" i="3"/>
  <c r="X4" i="3"/>
  <c r="W4" i="3"/>
  <c r="V4" i="3"/>
  <c r="U4" i="3"/>
  <c r="X3" i="3"/>
  <c r="W3" i="3"/>
  <c r="V3" i="3"/>
  <c r="U3" i="3"/>
  <c r="T13" i="3"/>
  <c r="T12" i="3"/>
  <c r="T11" i="3"/>
  <c r="T10" i="3"/>
  <c r="T9" i="3"/>
  <c r="T8" i="3"/>
  <c r="T7" i="3"/>
  <c r="T6" i="3"/>
  <c r="T5" i="3"/>
  <c r="T4" i="3"/>
  <c r="T3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AB4" i="3"/>
  <c r="H5" i="3"/>
  <c r="H4" i="3"/>
  <c r="H2" i="3"/>
  <c r="G3" i="3"/>
  <c r="G2" i="3"/>
  <c r="B5" i="3"/>
  <c r="B4" i="3"/>
  <c r="B3" i="3"/>
  <c r="B2" i="3"/>
  <c r="A15" i="3"/>
  <c r="A9" i="3"/>
  <c r="A7" i="3"/>
  <c r="A6" i="3"/>
  <c r="A5" i="3"/>
  <c r="A4" i="3"/>
  <c r="A3" i="3"/>
  <c r="AB6" i="3" l="1"/>
  <c r="F13" i="11"/>
  <c r="F9" i="11"/>
  <c r="F12" i="11"/>
  <c r="F11" i="11"/>
  <c r="F10" i="11"/>
  <c r="G7" i="11"/>
  <c r="G8" i="11"/>
  <c r="G13" i="11" l="1"/>
  <c r="G9" i="11"/>
  <c r="G10" i="11"/>
  <c r="G11" i="11"/>
  <c r="G12" i="11"/>
  <c r="E25" i="2" l="1"/>
  <c r="E24" i="2"/>
  <c r="E23" i="2"/>
  <c r="F11" i="2"/>
  <c r="F19" i="2"/>
  <c r="L10" i="2"/>
  <c r="F16" i="2"/>
  <c r="L9" i="2"/>
  <c r="F10" i="2"/>
  <c r="F12" i="2"/>
  <c r="R2" i="3"/>
  <c r="A21" i="3" s="1"/>
  <c r="L24" i="2" s="1"/>
  <c r="Q2" i="3"/>
  <c r="A20" i="3" s="1"/>
  <c r="P2" i="3"/>
  <c r="A19" i="3" s="1"/>
  <c r="O2" i="3"/>
  <c r="A18" i="3" s="1"/>
  <c r="I2" i="3"/>
  <c r="K33" i="3" s="1"/>
  <c r="M6" i="3" s="1"/>
  <c r="C2" i="3"/>
  <c r="D2" i="3" s="1"/>
  <c r="F18" i="2"/>
  <c r="F17" i="2"/>
  <c r="K26" i="3" l="1"/>
  <c r="K27" i="3"/>
  <c r="K25" i="3"/>
  <c r="K28" i="3"/>
  <c r="K21" i="3"/>
  <c r="K6" i="3"/>
  <c r="K24" i="3"/>
  <c r="K23" i="3"/>
  <c r="K22" i="3"/>
  <c r="K20" i="3"/>
  <c r="K17" i="3"/>
  <c r="K18" i="3"/>
  <c r="K19" i="3"/>
  <c r="K14" i="3"/>
  <c r="K10" i="3"/>
  <c r="K5" i="3"/>
  <c r="K9" i="3"/>
  <c r="K4" i="3"/>
  <c r="K8" i="3"/>
  <c r="K3" i="3"/>
  <c r="K7" i="3"/>
  <c r="K2" i="3"/>
  <c r="K13" i="3"/>
  <c r="K16" i="3"/>
  <c r="K12" i="3"/>
  <c r="K15" i="3"/>
  <c r="K11" i="3"/>
  <c r="L17" i="2"/>
  <c r="L18" i="2"/>
  <c r="L21" i="2"/>
  <c r="F13" i="2"/>
  <c r="E2" i="3"/>
  <c r="G6" i="3"/>
  <c r="B10" i="3"/>
  <c r="K34" i="3" l="1"/>
  <c r="M2" i="3"/>
  <c r="M3" i="3"/>
  <c r="M4" i="3"/>
  <c r="M5" i="3"/>
  <c r="A2" i="3"/>
  <c r="A8" i="3" s="1"/>
  <c r="F23" i="2" s="1"/>
  <c r="F6" i="3"/>
  <c r="F4" i="3"/>
  <c r="F5" i="3"/>
  <c r="F2" i="3"/>
  <c r="F3" i="3"/>
  <c r="F9" i="2" l="1"/>
  <c r="F20" i="2" s="1"/>
  <c r="A16" i="3"/>
  <c r="F25" i="2" s="1"/>
  <c r="A10" i="3"/>
  <c r="F24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EB5453E-5F55-104B-B5DD-540157495156}" name="Connexion" type="4" refreshedVersion="8" refreshOnLoad="1" saveData="1">
    <webPr consecutive="1" xl2000="1" url="https://req.spr74.fr/" htmlTables="1" htmlFormat="all"/>
  </connection>
</connections>
</file>

<file path=xl/sharedStrings.xml><?xml version="1.0" encoding="utf-8"?>
<sst xmlns="http://schemas.openxmlformats.org/spreadsheetml/2006/main" count="8022" uniqueCount="1511">
  <si>
    <t>Mme</t>
  </si>
  <si>
    <t>Mr</t>
  </si>
  <si>
    <t>Serge</t>
  </si>
  <si>
    <t>BA</t>
  </si>
  <si>
    <t>VA</t>
  </si>
  <si>
    <t>CH</t>
  </si>
  <si>
    <t>CD</t>
  </si>
  <si>
    <t>GE</t>
  </si>
  <si>
    <t>Sonia</t>
  </si>
  <si>
    <t>ML</t>
  </si>
  <si>
    <t>Oui</t>
  </si>
  <si>
    <t>Non</t>
  </si>
  <si>
    <t>tranches d'ages</t>
  </si>
  <si>
    <t>mois au rsa</t>
  </si>
  <si>
    <t>années au rsa</t>
  </si>
  <si>
    <t>durée rsa par tranches d'ages</t>
  </si>
  <si>
    <t>repartition genre</t>
  </si>
  <si>
    <t>aujourd'hui</t>
  </si>
  <si>
    <t>-30 ans</t>
  </si>
  <si>
    <t>NBRE RQTH</t>
  </si>
  <si>
    <t>NBRE RSA</t>
  </si>
  <si>
    <t>NBRE PE</t>
  </si>
  <si>
    <t>repartition reseau</t>
  </si>
  <si>
    <t>-2 ans</t>
  </si>
  <si>
    <t>2-4 ans</t>
  </si>
  <si>
    <t>5-8 ans</t>
  </si>
  <si>
    <t>9-10 ans</t>
  </si>
  <si>
    <t>+10 ans</t>
  </si>
  <si>
    <t>ML-BA</t>
  </si>
  <si>
    <t>TOTAL DES DOSSIERS FERMES</t>
  </si>
  <si>
    <t>Homme</t>
  </si>
  <si>
    <t>Femme</t>
  </si>
  <si>
    <t>Validé</t>
  </si>
  <si>
    <t>AAH</t>
  </si>
  <si>
    <t>Isabelle</t>
  </si>
  <si>
    <t>Vanessa</t>
  </si>
  <si>
    <t>LENOIR</t>
  </si>
  <si>
    <t>Karine</t>
  </si>
  <si>
    <t>TOTAL DES PRESCRIPTIONS EN ATTENTE DE VALIDATION</t>
  </si>
  <si>
    <t>TOTAL DES SITUATIONS PRESCRITES</t>
  </si>
  <si>
    <t>TOTAL DES SITUATIONS VALIDÉES</t>
  </si>
  <si>
    <t>TOTAL DES SITUATIONS REFUSÉES</t>
  </si>
  <si>
    <t>TOTAL DES DOSSIERS OUVERTS</t>
  </si>
  <si>
    <t>ECART (situations particulières à traiter)</t>
  </si>
  <si>
    <t>CARACTERISTIQUES ADMINISTRATIVES DES SITUATIONS PRESCRITES</t>
  </si>
  <si>
    <t>pour les dossiers issus d'une prescription "CD74"</t>
  </si>
  <si>
    <t>pour les dossiers issus des autres réseaux prescripteurs</t>
  </si>
  <si>
    <t>dont situations issues d'une prescription "CD74"</t>
  </si>
  <si>
    <t>dont situations issues des autres réseaux prescripteurs</t>
  </si>
  <si>
    <t>DOSSIERS EN FILE ACTIVE</t>
  </si>
  <si>
    <t>DELAI MOYEN* DE VALIDATION DE LA PRESCRIPTION</t>
  </si>
  <si>
    <t>*en nombre de jours</t>
  </si>
  <si>
    <t>libellés</t>
  </si>
  <si>
    <t>r-t</t>
  </si>
  <si>
    <t>nbre presc res-terr.</t>
  </si>
  <si>
    <t>nbre presc par terr.</t>
  </si>
  <si>
    <t>cd</t>
  </si>
  <si>
    <t>no cd</t>
  </si>
  <si>
    <t>contact</t>
  </si>
  <si>
    <t>rencontre</t>
  </si>
  <si>
    <t>ABANDON DE LA MESURE</t>
  </si>
  <si>
    <t>parcours</t>
  </si>
  <si>
    <t>AAH AUTRE</t>
  </si>
  <si>
    <t>EMPLOI AIDE TYPE EA</t>
  </si>
  <si>
    <t>EMPLOI TPS PLEIN</t>
  </si>
  <si>
    <t>FORMATION</t>
  </si>
  <si>
    <t>CREATION ENTREPRISE</t>
  </si>
  <si>
    <t>BENEVOLAT</t>
  </si>
  <si>
    <t>Bassin Annécien</t>
  </si>
  <si>
    <t>Chablais</t>
  </si>
  <si>
    <t>Genevois</t>
  </si>
  <si>
    <t>Vallée de L'Arve</t>
  </si>
  <si>
    <t>EMPLOI INTERIM</t>
  </si>
  <si>
    <t>etat</t>
  </si>
  <si>
    <t>dt</t>
  </si>
  <si>
    <t>rsa</t>
  </si>
  <si>
    <t>date_inscr_rsa</t>
  </si>
  <si>
    <t>genre</t>
  </si>
  <si>
    <t>nom</t>
  </si>
  <si>
    <t>age</t>
  </si>
  <si>
    <t>type</t>
  </si>
  <si>
    <t>prenom_presc</t>
  </si>
  <si>
    <t>nom_presc</t>
  </si>
  <si>
    <t>date_validation</t>
  </si>
  <si>
    <t>date_deb</t>
  </si>
  <si>
    <t>date_fin</t>
  </si>
  <si>
    <t>parc</t>
  </si>
  <si>
    <t>sortie</t>
  </si>
  <si>
    <t>rqth</t>
  </si>
  <si>
    <t>pole_emploi</t>
  </si>
  <si>
    <t>mars</t>
  </si>
  <si>
    <t>CDDI SIAE</t>
  </si>
  <si>
    <t>MESURE INADAPTEE</t>
  </si>
  <si>
    <t>EMPLOI TPS PARTIEL</t>
  </si>
  <si>
    <t>PRISE DE DROITS A LA RETRAITE</t>
  </si>
  <si>
    <t>FORMATION QUALIFIANTE</t>
  </si>
  <si>
    <t>FORMATION NON QUALIFIANTE</t>
  </si>
  <si>
    <t>RENONCEMENT AU RSA</t>
  </si>
  <si>
    <t>HOSPITALISATION MOYENNE OU LONGUE DUREE</t>
  </si>
  <si>
    <t>SUIVI REPRIS PAR OPERATEUR HANDICAP URAPEDA  </t>
  </si>
  <si>
    <t>cip</t>
  </si>
  <si>
    <t>ENTREE ESAT</t>
  </si>
  <si>
    <t>LORENZO</t>
  </si>
  <si>
    <t>DECROUX</t>
  </si>
  <si>
    <t>Ahlem</t>
  </si>
  <si>
    <t>Solène</t>
  </si>
  <si>
    <t>DE VULPILLIÈRES</t>
  </si>
  <si>
    <t>Salomé</t>
  </si>
  <si>
    <t>FALLET</t>
  </si>
  <si>
    <t>Sandrine</t>
  </si>
  <si>
    <t>Valérie</t>
  </si>
  <si>
    <t>BOUTEILLER</t>
  </si>
  <si>
    <t>Marc</t>
  </si>
  <si>
    <t>BLANC</t>
  </si>
  <si>
    <t>Céline</t>
  </si>
  <si>
    <t>LEFEBVRE</t>
  </si>
  <si>
    <t>CANDIDATURE PSEA REFUSEE</t>
  </si>
  <si>
    <t>P4 - EMPLOI TPS PARTIEL</t>
  </si>
  <si>
    <t>Justine Ngambene</t>
  </si>
  <si>
    <t>P2 - AAH AUTRE</t>
  </si>
  <si>
    <t>P1 - AAH</t>
  </si>
  <si>
    <t>P9 - PRISE DE DROITS A LA RETRAITE</t>
  </si>
  <si>
    <t>Olivier</t>
  </si>
  <si>
    <t>Laura</t>
  </si>
  <si>
    <t>P5 - EMPLOI TPS PLEIN</t>
  </si>
  <si>
    <t>Jean-Marc Boisier</t>
  </si>
  <si>
    <t>Stéphanie</t>
  </si>
  <si>
    <t>MESSERLI</t>
  </si>
  <si>
    <t>PAGEOT</t>
  </si>
  <si>
    <t>Julie</t>
  </si>
  <si>
    <t>UBERSCHLAG</t>
  </si>
  <si>
    <t>Corinne</t>
  </si>
  <si>
    <t>Jessica</t>
  </si>
  <si>
    <t>BOURREL</t>
  </si>
  <si>
    <t>Marina</t>
  </si>
  <si>
    <t>CLABAU</t>
  </si>
  <si>
    <t>Alicia</t>
  </si>
  <si>
    <t>BARRUCAND</t>
  </si>
  <si>
    <t>Lea</t>
  </si>
  <si>
    <t>DUPIN</t>
  </si>
  <si>
    <t>Christophe</t>
  </si>
  <si>
    <t>LOPEZ</t>
  </si>
  <si>
    <t>Nelly</t>
  </si>
  <si>
    <t>VINDRET</t>
  </si>
  <si>
    <t>Catherine</t>
  </si>
  <si>
    <t>Véronique</t>
  </si>
  <si>
    <t>MOREL</t>
  </si>
  <si>
    <t>Sébastien</t>
  </si>
  <si>
    <t>Estelle</t>
  </si>
  <si>
    <t>JAROSZ</t>
  </si>
  <si>
    <t>VUAGNOUX</t>
  </si>
  <si>
    <t>Clara</t>
  </si>
  <si>
    <t>MAGLI</t>
  </si>
  <si>
    <t>Amandine</t>
  </si>
  <si>
    <t>BERTHOUD</t>
  </si>
  <si>
    <t>Aurore</t>
  </si>
  <si>
    <t>LEVEQUE</t>
  </si>
  <si>
    <t>Carole</t>
  </si>
  <si>
    <t>JACQUEMIER</t>
  </si>
  <si>
    <t>Flora</t>
  </si>
  <si>
    <t>DUTHEIL</t>
  </si>
  <si>
    <t>Sophie</t>
  </si>
  <si>
    <t>Charles</t>
  </si>
  <si>
    <t>Dominique</t>
  </si>
  <si>
    <t>RICHARD</t>
  </si>
  <si>
    <t>Sylla</t>
  </si>
  <si>
    <t>TICOUT</t>
  </si>
  <si>
    <t>Grégory</t>
  </si>
  <si>
    <t>Nadine</t>
  </si>
  <si>
    <t>VAILLANT</t>
  </si>
  <si>
    <t>Djordje</t>
  </si>
  <si>
    <t>BANJAS</t>
  </si>
  <si>
    <t>Marjorie</t>
  </si>
  <si>
    <t>MOCCAND</t>
  </si>
  <si>
    <t>P3 - EMPLOI AIDE TYPE EA</t>
  </si>
  <si>
    <t>P8 - BENEVOLAT</t>
  </si>
  <si>
    <t>P7 - CREATION ENTREPRISE</t>
  </si>
  <si>
    <t>Adjiba</t>
  </si>
  <si>
    <t>CHARROU</t>
  </si>
  <si>
    <t>Damien</t>
  </si>
  <si>
    <t>SANCHEZ</t>
  </si>
  <si>
    <t>MEKKI</t>
  </si>
  <si>
    <t>Nogueline</t>
  </si>
  <si>
    <t>DUFOURD</t>
  </si>
  <si>
    <t>Franck</t>
  </si>
  <si>
    <t>Emmanuelle</t>
  </si>
  <si>
    <t>MERLE</t>
  </si>
  <si>
    <t>Svetlana</t>
  </si>
  <si>
    <t>Sabine</t>
  </si>
  <si>
    <t>GUIGON</t>
  </si>
  <si>
    <t>DOS SANTOS</t>
  </si>
  <si>
    <t>Yvan</t>
  </si>
  <si>
    <t>Bakhta</t>
  </si>
  <si>
    <t>CHAOUCHE</t>
  </si>
  <si>
    <t>Mélanie</t>
  </si>
  <si>
    <t>CAMUS</t>
  </si>
  <si>
    <t>Jonathan</t>
  </si>
  <si>
    <t>Chrystelle</t>
  </si>
  <si>
    <t>BURNIER</t>
  </si>
  <si>
    <t>Frederic</t>
  </si>
  <si>
    <t>Christine</t>
  </si>
  <si>
    <t>CHEVALIER</t>
  </si>
  <si>
    <t>Patricia</t>
  </si>
  <si>
    <t>Anita</t>
  </si>
  <si>
    <t>DE SANTIAGO</t>
  </si>
  <si>
    <t>Annick</t>
  </si>
  <si>
    <t>Régine</t>
  </si>
  <si>
    <t>BOURCIER</t>
  </si>
  <si>
    <t>GARNIER</t>
  </si>
  <si>
    <t>Joelle</t>
  </si>
  <si>
    <t>RAMEL</t>
  </si>
  <si>
    <t>ROMAN</t>
  </si>
  <si>
    <t>Christelle</t>
  </si>
  <si>
    <t>CAMANDONE</t>
  </si>
  <si>
    <t>DEMENAGEMENT AUTRE DEPARTEMENT</t>
  </si>
  <si>
    <t>CREATION MICROENTREPRISE</t>
  </si>
  <si>
    <t>SUIVI PARTENAIRE SPECIALISE</t>
  </si>
  <si>
    <t>ORIENTATION SIAE</t>
  </si>
  <si>
    <t>PROPOSITION DE SUIVI DANS PARCOURS COORDONNEES</t>
  </si>
  <si>
    <t>ORIENTATION EA</t>
  </si>
  <si>
    <t>ORIENTATION WEAVERS</t>
  </si>
  <si>
    <t>ORIENTATION PARCOURS PERSEVERANCE</t>
  </si>
  <si>
    <t>BOURGEOIS</t>
  </si>
  <si>
    <t>Ref SPR</t>
  </si>
  <si>
    <t>Fermé</t>
  </si>
  <si>
    <t>A PRECISER LORS DU RDV INDIV CIP</t>
  </si>
  <si>
    <t>P6 - FORMATION</t>
  </si>
  <si>
    <t>Refusé</t>
  </si>
  <si>
    <t>Laurence Leclercq</t>
  </si>
  <si>
    <t>Terence</t>
  </si>
  <si>
    <t>DANNEELS</t>
  </si>
  <si>
    <t>Alain</t>
  </si>
  <si>
    <t>Patrice</t>
  </si>
  <si>
    <t>David</t>
  </si>
  <si>
    <t>Elodie</t>
  </si>
  <si>
    <t>Philippe</t>
  </si>
  <si>
    <t>ASMUS</t>
  </si>
  <si>
    <t>Zohra</t>
  </si>
  <si>
    <t>BOUNOUR</t>
  </si>
  <si>
    <t>Nicolas</t>
  </si>
  <si>
    <t>Bastien</t>
  </si>
  <si>
    <t>Sarah</t>
  </si>
  <si>
    <t>TUPIN</t>
  </si>
  <si>
    <t>KANTACH</t>
  </si>
  <si>
    <t>Barbara</t>
  </si>
  <si>
    <t>JOUVENON</t>
  </si>
  <si>
    <t>Laurie</t>
  </si>
  <si>
    <t>Angélique</t>
  </si>
  <si>
    <t>Emma</t>
  </si>
  <si>
    <t>PETIOT</t>
  </si>
  <si>
    <t>Nathalie</t>
  </si>
  <si>
    <t>LOLLIOZ</t>
  </si>
  <si>
    <t>Malika</t>
  </si>
  <si>
    <t>Cecile</t>
  </si>
  <si>
    <t>RAGEAU</t>
  </si>
  <si>
    <t>MARTIN</t>
  </si>
  <si>
    <t>Aline</t>
  </si>
  <si>
    <t>Marie</t>
  </si>
  <si>
    <t>Florence</t>
  </si>
  <si>
    <t>Lydie</t>
  </si>
  <si>
    <t>VORMS</t>
  </si>
  <si>
    <t>Mourad</t>
  </si>
  <si>
    <t>Kenza</t>
  </si>
  <si>
    <t>Jimmy</t>
  </si>
  <si>
    <t>Stephanie</t>
  </si>
  <si>
    <t>AVOCAT-MAULAZ</t>
  </si>
  <si>
    <t>Laurence</t>
  </si>
  <si>
    <t>Pascal</t>
  </si>
  <si>
    <t>Sylvie</t>
  </si>
  <si>
    <t>CANDIDATURE PSE REFUSEE</t>
  </si>
  <si>
    <t>PROUTE</t>
  </si>
  <si>
    <t>Mohamed</t>
  </si>
  <si>
    <t>FIGLIUZZI</t>
  </si>
  <si>
    <t>Melanie</t>
  </si>
  <si>
    <t>Emilie</t>
  </si>
  <si>
    <t>Celine</t>
  </si>
  <si>
    <t>Edwige</t>
  </si>
  <si>
    <t>DELAPLAGNE</t>
  </si>
  <si>
    <t>Emine</t>
  </si>
  <si>
    <t>CETIN</t>
  </si>
  <si>
    <t>Edith</t>
  </si>
  <si>
    <t>VASCO</t>
  </si>
  <si>
    <t>Alexandra</t>
  </si>
  <si>
    <t>Faycel</t>
  </si>
  <si>
    <t>HALITIM</t>
  </si>
  <si>
    <t>GHARBI</t>
  </si>
  <si>
    <t>MUNCK</t>
  </si>
  <si>
    <t>Amelie</t>
  </si>
  <si>
    <t>GUYON</t>
  </si>
  <si>
    <t>Ludovic</t>
  </si>
  <si>
    <t>Hervé</t>
  </si>
  <si>
    <t>Vincent</t>
  </si>
  <si>
    <t>DOUCHE</t>
  </si>
  <si>
    <t>BELLIN</t>
  </si>
  <si>
    <t>Eddy</t>
  </si>
  <si>
    <t>Marlène</t>
  </si>
  <si>
    <t>VERGNE</t>
  </si>
  <si>
    <t>Nadir</t>
  </si>
  <si>
    <t>TOUATI</t>
  </si>
  <si>
    <t>AERNI</t>
  </si>
  <si>
    <t>Alexandre</t>
  </si>
  <si>
    <t>Leslie</t>
  </si>
  <si>
    <t>AZIER</t>
  </si>
  <si>
    <t>KERBOUA</t>
  </si>
  <si>
    <t>Fanny</t>
  </si>
  <si>
    <t>Graziella</t>
  </si>
  <si>
    <t>NIRLO</t>
  </si>
  <si>
    <t>Bouchra</t>
  </si>
  <si>
    <t>DOUCHET</t>
  </si>
  <si>
    <t>Julien</t>
  </si>
  <si>
    <t>Francoise</t>
  </si>
  <si>
    <t>Mallory</t>
  </si>
  <si>
    <t>GENIN</t>
  </si>
  <si>
    <t>Amine</t>
  </si>
  <si>
    <t>VALVERDE</t>
  </si>
  <si>
    <t>Walid</t>
  </si>
  <si>
    <t>HEMISSI</t>
  </si>
  <si>
    <t>Foued</t>
  </si>
  <si>
    <t>Sylvie De Ascensao</t>
  </si>
  <si>
    <t>DOSSIER MDPH DEPOSE POUR EQUIPE TECHNIQUE MDPH SPR74</t>
  </si>
  <si>
    <t>DOSSIER MDPH EN COURS CONSTITUTION POUR EQUIPE TECHNIQUE MDPH SPR74</t>
  </si>
  <si>
    <t>MICHEL</t>
  </si>
  <si>
    <t>Maria</t>
  </si>
  <si>
    <t>CDI TEMPS PLEIN</t>
  </si>
  <si>
    <t>CDI TEMPS PARTIEL</t>
  </si>
  <si>
    <t>CDD SUPÉRIEUR OU ÉGAL À 6 MOIS</t>
  </si>
  <si>
    <t>CDD INFÉRIEUR À 6 MOIS</t>
  </si>
  <si>
    <t>OBTENTION AAH RSDAE</t>
  </si>
  <si>
    <t>VIDE</t>
  </si>
  <si>
    <t>DECES</t>
  </si>
  <si>
    <t>CDD inférieur à 6 mois</t>
  </si>
  <si>
    <t>Anais</t>
  </si>
  <si>
    <t>RIONDY</t>
  </si>
  <si>
    <t>GERVASONI</t>
  </si>
  <si>
    <t>MOUELHI</t>
  </si>
  <si>
    <t>SEMELIN</t>
  </si>
  <si>
    <t>Christiane</t>
  </si>
  <si>
    <t>Caroline</t>
  </si>
  <si>
    <t>MANIER</t>
  </si>
  <si>
    <t>GALLET</t>
  </si>
  <si>
    <t>FERREIRA</t>
  </si>
  <si>
    <t>En attente de validation</t>
  </si>
  <si>
    <t>John</t>
  </si>
  <si>
    <t>Gilles</t>
  </si>
  <si>
    <t>Joaquim</t>
  </si>
  <si>
    <t>DA SILVA COSTA</t>
  </si>
  <si>
    <t>Carlos</t>
  </si>
  <si>
    <t>Cyrille</t>
  </si>
  <si>
    <t>GEORGES</t>
  </si>
  <si>
    <t>Djamel</t>
  </si>
  <si>
    <t>Fabienne</t>
  </si>
  <si>
    <t>Valerie</t>
  </si>
  <si>
    <t>Béatrice</t>
  </si>
  <si>
    <t>Didier</t>
  </si>
  <si>
    <t>XAVIER</t>
  </si>
  <si>
    <t>Adelina</t>
  </si>
  <si>
    <t>COMBY</t>
  </si>
  <si>
    <t>PENSION INVALIDITE CPAM</t>
  </si>
  <si>
    <t>François</t>
  </si>
  <si>
    <t>Cathy</t>
  </si>
  <si>
    <t>Laetitia</t>
  </si>
  <si>
    <t>PERUZZO</t>
  </si>
  <si>
    <t>ORIENTATION ACCOMPAGNEMENT TNS - AIDER</t>
  </si>
  <si>
    <t>Diana</t>
  </si>
  <si>
    <t>BELMEHDI</t>
  </si>
  <si>
    <t>Antoine</t>
  </si>
  <si>
    <t>Issa</t>
  </si>
  <si>
    <t>KASABRA</t>
  </si>
  <si>
    <t>Anouk</t>
  </si>
  <si>
    <t>ROJARD</t>
  </si>
  <si>
    <t>BOUZIT</t>
  </si>
  <si>
    <t>Carine</t>
  </si>
  <si>
    <t>CASANOVA</t>
  </si>
  <si>
    <t>Djamal</t>
  </si>
  <si>
    <t>YOUSSOUF</t>
  </si>
  <si>
    <t>Mikael</t>
  </si>
  <si>
    <t>VULLIET</t>
  </si>
  <si>
    <t>OBTENTION PENSION INVAL 2</t>
  </si>
  <si>
    <t>Fatima</t>
  </si>
  <si>
    <t>Marcel</t>
  </si>
  <si>
    <t>Laure</t>
  </si>
  <si>
    <t>EMINET</t>
  </si>
  <si>
    <t>Salim</t>
  </si>
  <si>
    <t>Souad</t>
  </si>
  <si>
    <t>Cédric</t>
  </si>
  <si>
    <t>Yannick</t>
  </si>
  <si>
    <t>JANIN</t>
  </si>
  <si>
    <t>Cindy</t>
  </si>
  <si>
    <t>Kimberley</t>
  </si>
  <si>
    <t>CAZENEUVE</t>
  </si>
  <si>
    <t>SIMON</t>
  </si>
  <si>
    <t>DELAFOSSE</t>
  </si>
  <si>
    <t>COLOMBAR</t>
  </si>
  <si>
    <t>SANSO</t>
  </si>
  <si>
    <t>Fatma</t>
  </si>
  <si>
    <t>LAPU KIESE</t>
  </si>
  <si>
    <t>CI</t>
  </si>
  <si>
    <t>MITTON</t>
  </si>
  <si>
    <t>Majda</t>
  </si>
  <si>
    <t>EL JOUTI</t>
  </si>
  <si>
    <t>Mireille</t>
  </si>
  <si>
    <t>Maeva</t>
  </si>
  <si>
    <t>Anne-cécile</t>
  </si>
  <si>
    <t>LEHUEN</t>
  </si>
  <si>
    <t>Magalie</t>
  </si>
  <si>
    <t>ALEXANDRE</t>
  </si>
  <si>
    <t>Michel</t>
  </si>
  <si>
    <t>OBTENTION AAH rsdae 3</t>
  </si>
  <si>
    <t>OBTENTION AAH rsdae 2</t>
  </si>
  <si>
    <t>Djamila</t>
  </si>
  <si>
    <t>ILINA</t>
  </si>
  <si>
    <t>Samira</t>
  </si>
  <si>
    <t>RÉFERENT CIP SPR74</t>
  </si>
  <si>
    <t>REFUS DE LA MESURE</t>
  </si>
  <si>
    <t>OBTENTION AAH RSDAE 3</t>
  </si>
  <si>
    <t>OBTENTION AAH RSDAE 5</t>
  </si>
  <si>
    <t>Haci</t>
  </si>
  <si>
    <t>CAVUS</t>
  </si>
  <si>
    <t>Coralie</t>
  </si>
  <si>
    <t>Nadia</t>
  </si>
  <si>
    <t>Jessie</t>
  </si>
  <si>
    <t>LIGNANZI</t>
  </si>
  <si>
    <t>CORBOZ</t>
  </si>
  <si>
    <t>REMOND</t>
  </si>
  <si>
    <t>Dalila</t>
  </si>
  <si>
    <t>REINHARDT</t>
  </si>
  <si>
    <t>Gérard</t>
  </si>
  <si>
    <t>Magali</t>
  </si>
  <si>
    <t>FINOT</t>
  </si>
  <si>
    <t>Delphine</t>
  </si>
  <si>
    <t>FOURNIER</t>
  </si>
  <si>
    <t>Johanna</t>
  </si>
  <si>
    <t>ARGAUD</t>
  </si>
  <si>
    <t>Adel</t>
  </si>
  <si>
    <t>Gaston</t>
  </si>
  <si>
    <t>Guillaume</t>
  </si>
  <si>
    <t>DARRACQ</t>
  </si>
  <si>
    <t>PIOVESAN</t>
  </si>
  <si>
    <t>BOUJEMÂA</t>
  </si>
  <si>
    <t>Samy</t>
  </si>
  <si>
    <t>DIEMUNSCH</t>
  </si>
  <si>
    <t>Agon</t>
  </si>
  <si>
    <t>HAKLAJ</t>
  </si>
  <si>
    <t>Wafa</t>
  </si>
  <si>
    <t>EL MAACHI</t>
  </si>
  <si>
    <t>NANCHE</t>
  </si>
  <si>
    <t>Evelyne</t>
  </si>
  <si>
    <t>CARVALHO</t>
  </si>
  <si>
    <t>HINCOURT</t>
  </si>
  <si>
    <t>Marilyne</t>
  </si>
  <si>
    <t>AVET</t>
  </si>
  <si>
    <t>Marion</t>
  </si>
  <si>
    <t>JACQUEMOT</t>
  </si>
  <si>
    <t>FAOUZI</t>
  </si>
  <si>
    <t>Claire</t>
  </si>
  <si>
    <t>MARECHAL</t>
  </si>
  <si>
    <t>ref</t>
  </si>
  <si>
    <t>prenom</t>
  </si>
  <si>
    <t>ddn</t>
  </si>
  <si>
    <t>date_prescription</t>
  </si>
  <si>
    <t>Pauline</t>
  </si>
  <si>
    <t>PATIN</t>
  </si>
  <si>
    <t>Maurice</t>
  </si>
  <si>
    <t>30-39 ans</t>
  </si>
  <si>
    <t>40-49 ans</t>
  </si>
  <si>
    <t>50+ ans</t>
  </si>
  <si>
    <t>DELAI MAX* DE PREMIER RENDEZ-VOUS AVEC SPR74</t>
  </si>
  <si>
    <t>DELAI MAX* DE PREMIER CONTACT AVEC SPR74</t>
  </si>
  <si>
    <t>maj</t>
  </si>
  <si>
    <t>DERNIERE MISE A JOUR</t>
  </si>
  <si>
    <t>MEDDOUR</t>
  </si>
  <si>
    <t>Date de début:</t>
  </si>
  <si>
    <t>Date de fin:</t>
  </si>
  <si>
    <t>Dossiers en file active</t>
  </si>
  <si>
    <t>Notes renseignées</t>
  </si>
  <si>
    <t>Sans médecin</t>
  </si>
  <si>
    <t>Sans CES</t>
  </si>
  <si>
    <t>Sans FDPI</t>
  </si>
  <si>
    <t>Sans AES</t>
  </si>
  <si>
    <t>Sans CSS</t>
  </si>
  <si>
    <t>VANDEVOORDE</t>
  </si>
  <si>
    <t>Mustapha</t>
  </si>
  <si>
    <t>AKSU</t>
  </si>
  <si>
    <t>Clemence</t>
  </si>
  <si>
    <t>Thierry</t>
  </si>
  <si>
    <t>Murielle</t>
  </si>
  <si>
    <t>Nabil</t>
  </si>
  <si>
    <t>RETRAITE</t>
  </si>
  <si>
    <t>Habiba</t>
  </si>
  <si>
    <t>Hafid</t>
  </si>
  <si>
    <t>BOUKHAMLA</t>
  </si>
  <si>
    <t>L</t>
  </si>
  <si>
    <t>GAGLIOLO</t>
  </si>
  <si>
    <t>Peter</t>
  </si>
  <si>
    <t>DHOTE</t>
  </si>
  <si>
    <t>CARTRY</t>
  </si>
  <si>
    <t>SAUVAGEOT</t>
  </si>
  <si>
    <t>Ferdeze</t>
  </si>
  <si>
    <t>ALBERTI</t>
  </si>
  <si>
    <t>Aicha</t>
  </si>
  <si>
    <t>Bernard</t>
  </si>
  <si>
    <t>ZABOUCHE</t>
  </si>
  <si>
    <t>Annie</t>
  </si>
  <si>
    <t>LEROUX</t>
  </si>
  <si>
    <t>Jutbine</t>
  </si>
  <si>
    <t>Aurégane</t>
  </si>
  <si>
    <t>PAN</t>
  </si>
  <si>
    <t>Nisrie</t>
  </si>
  <si>
    <t>EMURLLAHU</t>
  </si>
  <si>
    <t>LOCQUENEUX</t>
  </si>
  <si>
    <t>GAGLIARDI</t>
  </si>
  <si>
    <t>Jean-jacques</t>
  </si>
  <si>
    <t>DEAZEVEDO</t>
  </si>
  <si>
    <t>MONTREUIL</t>
  </si>
  <si>
    <t>Audrey</t>
  </si>
  <si>
    <t>Melad</t>
  </si>
  <si>
    <t>MOSAVI</t>
  </si>
  <si>
    <t>Albulena</t>
  </si>
  <si>
    <t>ZEKA</t>
  </si>
  <si>
    <t>ARNAUD-GODDET</t>
  </si>
  <si>
    <t>Karim</t>
  </si>
  <si>
    <t>ZAHOUI</t>
  </si>
  <si>
    <t>PACCARD</t>
  </si>
  <si>
    <t>DOS SANTOS FERREIRA</t>
  </si>
  <si>
    <t>BEHILIL</t>
  </si>
  <si>
    <t>Rolande</t>
  </si>
  <si>
    <t>BELLUARD</t>
  </si>
  <si>
    <t>Michael</t>
  </si>
  <si>
    <t>MOUMENE</t>
  </si>
  <si>
    <t>Quoc cuong</t>
  </si>
  <si>
    <t>DANG</t>
  </si>
  <si>
    <t>Yves</t>
  </si>
  <si>
    <t>GOURDET</t>
  </si>
  <si>
    <t>HAMOUTA</t>
  </si>
  <si>
    <t>Temimi</t>
  </si>
  <si>
    <t>SHIEM</t>
  </si>
  <si>
    <t>Suleyman</t>
  </si>
  <si>
    <t>KAYGISIZ</t>
  </si>
  <si>
    <t>BOUTON</t>
  </si>
  <si>
    <t>V</t>
  </si>
  <si>
    <t>Driss</t>
  </si>
  <si>
    <t>Jourdain</t>
  </si>
  <si>
    <t>LISA</t>
  </si>
  <si>
    <t>ADOLPHE</t>
  </si>
  <si>
    <t>BATT</t>
  </si>
  <si>
    <t>Oussama</t>
  </si>
  <si>
    <t>LOUAH</t>
  </si>
  <si>
    <t>Florent</t>
  </si>
  <si>
    <t>Abdel hakim</t>
  </si>
  <si>
    <t>COURDIER</t>
  </si>
  <si>
    <t>Zeynep</t>
  </si>
  <si>
    <t>KIRMIZI</t>
  </si>
  <si>
    <t>GUIGON CALDERINI</t>
  </si>
  <si>
    <t>Seckin</t>
  </si>
  <si>
    <t>DEMIRKAPI</t>
  </si>
  <si>
    <t>DANIAULT</t>
  </si>
  <si>
    <t>FARGES</t>
  </si>
  <si>
    <t>Pierrette</t>
  </si>
  <si>
    <t>Ludivine</t>
  </si>
  <si>
    <t>ARNOLD</t>
  </si>
  <si>
    <t>SPLAWSKI</t>
  </si>
  <si>
    <t>Bertin</t>
  </si>
  <si>
    <t>CAGLAR</t>
  </si>
  <si>
    <t>FERRY</t>
  </si>
  <si>
    <t>GIRARD</t>
  </si>
  <si>
    <t>Lisa</t>
  </si>
  <si>
    <t>Manon</t>
  </si>
  <si>
    <t>ROY</t>
  </si>
  <si>
    <t>Kevin</t>
  </si>
  <si>
    <t>Justine</t>
  </si>
  <si>
    <t>LECLERCQ</t>
  </si>
  <si>
    <t>Nassim</t>
  </si>
  <si>
    <t>Jérôme</t>
  </si>
  <si>
    <t>Zafer</t>
  </si>
  <si>
    <t>Mohammed</t>
  </si>
  <si>
    <t>BENVENUTI</t>
  </si>
  <si>
    <t>Maza</t>
  </si>
  <si>
    <t>ASEFA KEBEDE</t>
  </si>
  <si>
    <t>Bibi</t>
  </si>
  <si>
    <t>ZAINA</t>
  </si>
  <si>
    <t>Yan</t>
  </si>
  <si>
    <t>LE SCOUEZEC</t>
  </si>
  <si>
    <t>Aude</t>
  </si>
  <si>
    <t>Anaïs</t>
  </si>
  <si>
    <t>Sabrina</t>
  </si>
  <si>
    <t>Samia</t>
  </si>
  <si>
    <t>Oumakoussoum</t>
  </si>
  <si>
    <t>KHAIBOULAIEVA</t>
  </si>
  <si>
    <t>Abdishakur</t>
  </si>
  <si>
    <t>IBRAHIM ALI</t>
  </si>
  <si>
    <t>Déborah</t>
  </si>
  <si>
    <t>GARLAND</t>
  </si>
  <si>
    <t>Nevzat</t>
  </si>
  <si>
    <t>EYVAZ</t>
  </si>
  <si>
    <t>FICHET</t>
  </si>
  <si>
    <t>Elea</t>
  </si>
  <si>
    <t>Jessy</t>
  </si>
  <si>
    <t>GIORGETTI</t>
  </si>
  <si>
    <t>A</t>
  </si>
  <si>
    <t>BAUD</t>
  </si>
  <si>
    <t>RUPA</t>
  </si>
  <si>
    <t>PEDUZZI</t>
  </si>
  <si>
    <t>Océane</t>
  </si>
  <si>
    <t>Lucile</t>
  </si>
  <si>
    <t>HASSINE</t>
  </si>
  <si>
    <t>BIJASSON</t>
  </si>
  <si>
    <t>STEPHAN</t>
  </si>
  <si>
    <t>SYLVESTRE</t>
  </si>
  <si>
    <t>MAGNIER</t>
  </si>
  <si>
    <t>MAKHLOUFI</t>
  </si>
  <si>
    <t>MEKARNI</t>
  </si>
  <si>
    <t>Samad</t>
  </si>
  <si>
    <t>ABDUS KHAN</t>
  </si>
  <si>
    <t>Loic</t>
  </si>
  <si>
    <t>NOTTEBART</t>
  </si>
  <si>
    <t>DERIES</t>
  </si>
  <si>
    <t>BATAILLE</t>
  </si>
  <si>
    <t>Tarik</t>
  </si>
  <si>
    <t>HENCHOUR</t>
  </si>
  <si>
    <t>Hafida</t>
  </si>
  <si>
    <t>OUKZIZ</t>
  </si>
  <si>
    <t>Resmiye</t>
  </si>
  <si>
    <t>KACIRAL</t>
  </si>
  <si>
    <t>MAILLET</t>
  </si>
  <si>
    <t>Mirando</t>
  </si>
  <si>
    <t>FEUGIER</t>
  </si>
  <si>
    <t>GENOUD</t>
  </si>
  <si>
    <t>Petru</t>
  </si>
  <si>
    <t>VARGA</t>
  </si>
  <si>
    <t>Naza</t>
  </si>
  <si>
    <t>AHMETOVIC</t>
  </si>
  <si>
    <t>FILLION</t>
  </si>
  <si>
    <t>Céleste</t>
  </si>
  <si>
    <t>KERMARREC</t>
  </si>
  <si>
    <t>Abdallah</t>
  </si>
  <si>
    <t>BOUSEMAT</t>
  </si>
  <si>
    <t>LIMACHER</t>
  </si>
  <si>
    <t>BENAKILA</t>
  </si>
  <si>
    <t>COURTEAUD</t>
  </si>
  <si>
    <t>Mandy</t>
  </si>
  <si>
    <t>BOVET</t>
  </si>
  <si>
    <t>POPELIER</t>
  </si>
  <si>
    <t>Marie-camille</t>
  </si>
  <si>
    <t>KENTOURI-BONOD</t>
  </si>
  <si>
    <t>POULAIN</t>
  </si>
  <si>
    <t>Fadime</t>
  </si>
  <si>
    <t>TERKESLI</t>
  </si>
  <si>
    <t>Rajaa</t>
  </si>
  <si>
    <t>EL BADAOUI</t>
  </si>
  <si>
    <t>RODRIGUEZ</t>
  </si>
  <si>
    <t>VILLEMAGNE</t>
  </si>
  <si>
    <t>TRICOUT</t>
  </si>
  <si>
    <t>Yvonne</t>
  </si>
  <si>
    <t>MERKOUZA</t>
  </si>
  <si>
    <t>DONAT-MAGNIN</t>
  </si>
  <si>
    <t>Sultan</t>
  </si>
  <si>
    <t>AKOGUL</t>
  </si>
  <si>
    <t>BINGUL</t>
  </si>
  <si>
    <t>Sami</t>
  </si>
  <si>
    <t>KHELIFI</t>
  </si>
  <si>
    <t>Jean-paul</t>
  </si>
  <si>
    <t>DUPONT VIEUX</t>
  </si>
  <si>
    <t>Aziz</t>
  </si>
  <si>
    <t>SAADI</t>
  </si>
  <si>
    <t>Vuvudonnette</t>
  </si>
  <si>
    <t>NSIAKANDA</t>
  </si>
  <si>
    <t>Abdurrahman</t>
  </si>
  <si>
    <t>AYDIN</t>
  </si>
  <si>
    <t>PESTOURIE</t>
  </si>
  <si>
    <t>CREVOT</t>
  </si>
  <si>
    <t>Alvin</t>
  </si>
  <si>
    <t>KOUMETIO</t>
  </si>
  <si>
    <t>CHAPPOT</t>
  </si>
  <si>
    <t>Paolo</t>
  </si>
  <si>
    <t>RUGGERI</t>
  </si>
  <si>
    <t>MUGNIER</t>
  </si>
  <si>
    <t>KOHLER</t>
  </si>
  <si>
    <t>DJOULAH</t>
  </si>
  <si>
    <t>C</t>
  </si>
  <si>
    <t>Robert</t>
  </si>
  <si>
    <t>PLECZELUK</t>
  </si>
  <si>
    <t>BERINI</t>
  </si>
  <si>
    <t>Baptiste</t>
  </si>
  <si>
    <t>LYON</t>
  </si>
  <si>
    <t>Lynda</t>
  </si>
  <si>
    <t>IKHLEF</t>
  </si>
  <si>
    <t>G</t>
  </si>
  <si>
    <t>Mama</t>
  </si>
  <si>
    <t>CAMARA</t>
  </si>
  <si>
    <t>FAYAC</t>
  </si>
  <si>
    <t>Minoun</t>
  </si>
  <si>
    <t>BOUYIRI</t>
  </si>
  <si>
    <t>Étiquettes de lignes</t>
  </si>
  <si>
    <t>Total général</t>
  </si>
  <si>
    <t>janv</t>
  </si>
  <si>
    <t>févr</t>
  </si>
  <si>
    <t>oct</t>
  </si>
  <si>
    <t>nov</t>
  </si>
  <si>
    <t>déc</t>
  </si>
  <si>
    <t>Répartition par mois</t>
  </si>
  <si>
    <t>jours</t>
  </si>
  <si>
    <t>Jomaa</t>
  </si>
  <si>
    <t>ALMAREI</t>
  </si>
  <si>
    <t>BOEGEAT</t>
  </si>
  <si>
    <t>GRANDADAM</t>
  </si>
  <si>
    <t>TAGUEMOUNT</t>
  </si>
  <si>
    <t>Neigma</t>
  </si>
  <si>
    <t>LOUNIS</t>
  </si>
  <si>
    <t>Élodie Labrousse</t>
  </si>
  <si>
    <t>TAVELIN</t>
  </si>
  <si>
    <t>Jean-pierre</t>
  </si>
  <si>
    <t>Félix</t>
  </si>
  <si>
    <t>REFUS DE LA MESURE - PAS DE REPONSE AUX SOLLICITATIONS DE DEMARRAGE</t>
  </si>
  <si>
    <t>Selma</t>
  </si>
  <si>
    <t>KORMAZYUREK</t>
  </si>
  <si>
    <t>FOURNIERLANGLAIS</t>
  </si>
  <si>
    <t>Zulfi</t>
  </si>
  <si>
    <t>BULUT</t>
  </si>
  <si>
    <t>SLAIMIPOUCHAIN</t>
  </si>
  <si>
    <t>MOUHIM</t>
  </si>
  <si>
    <t>BENDJILALI</t>
  </si>
  <si>
    <t>Jinane</t>
  </si>
  <si>
    <t>BAHBOUHI</t>
  </si>
  <si>
    <t>ANSELMO</t>
  </si>
  <si>
    <t>Simone</t>
  </si>
  <si>
    <t>Mevljane</t>
  </si>
  <si>
    <t>RAMADANI</t>
  </si>
  <si>
    <t>MORANT</t>
  </si>
  <si>
    <t>Annesophie</t>
  </si>
  <si>
    <t>Sadbere</t>
  </si>
  <si>
    <t>POLDE</t>
  </si>
  <si>
    <t>Meriam</t>
  </si>
  <si>
    <t>SAYOUD</t>
  </si>
  <si>
    <t>SCHAAD</t>
  </si>
  <si>
    <t>Judith</t>
  </si>
  <si>
    <t>ANDRIAMBELO</t>
  </si>
  <si>
    <t>Joël</t>
  </si>
  <si>
    <t>BORCIER</t>
  </si>
  <si>
    <t>JELASSI</t>
  </si>
  <si>
    <t>Solene</t>
  </si>
  <si>
    <t>DEVULPILLIERESDEREYDET</t>
  </si>
  <si>
    <t>TOUIKER</t>
  </si>
  <si>
    <t>JOURDAIN</t>
  </si>
  <si>
    <t>Lahouari</t>
  </si>
  <si>
    <t>GHEZIL</t>
  </si>
  <si>
    <t>Perrine</t>
  </si>
  <si>
    <t>LAGET</t>
  </si>
  <si>
    <t>ANGOUILLANT</t>
  </si>
  <si>
    <t>MERMILLOD-ANSELME</t>
  </si>
  <si>
    <t>Joëlle</t>
  </si>
  <si>
    <t>LE DEMAZEL</t>
  </si>
  <si>
    <t>Ismail</t>
  </si>
  <si>
    <t>ELSHANI</t>
  </si>
  <si>
    <t>BOURDIN</t>
  </si>
  <si>
    <t>EL BELLAL</t>
  </si>
  <si>
    <t>Maëlis</t>
  </si>
  <si>
    <t>MARNY</t>
  </si>
  <si>
    <t>SCHEID</t>
  </si>
  <si>
    <t>Abdelmajid</t>
  </si>
  <si>
    <t>LAAZIZ</t>
  </si>
  <si>
    <t>NAHRA</t>
  </si>
  <si>
    <t>Museref</t>
  </si>
  <si>
    <t>KULA</t>
  </si>
  <si>
    <t>Hélène Crouy</t>
  </si>
  <si>
    <t>Nombre de date_prescription</t>
  </si>
  <si>
    <t>Nombre de nom_presc</t>
  </si>
  <si>
    <t>NEYRET</t>
  </si>
  <si>
    <t>Nastasia</t>
  </si>
  <si>
    <t>DAMJANOVIC</t>
  </si>
  <si>
    <t>BOITI DAGE</t>
  </si>
  <si>
    <t>VIVARD</t>
  </si>
  <si>
    <t>SELMI</t>
  </si>
  <si>
    <t>Meghezzi</t>
  </si>
  <si>
    <t>ROSELINE</t>
  </si>
  <si>
    <t>B</t>
  </si>
  <si>
    <t>Celalettin</t>
  </si>
  <si>
    <t>ISYAPAR</t>
  </si>
  <si>
    <t>LEVETEAU</t>
  </si>
  <si>
    <t>Lucyna</t>
  </si>
  <si>
    <t>Clément</t>
  </si>
  <si>
    <t>CRITOT</t>
  </si>
  <si>
    <t>FRANCK</t>
  </si>
  <si>
    <t>Imene</t>
  </si>
  <si>
    <t>KARAM</t>
  </si>
  <si>
    <t>Khaldia</t>
  </si>
  <si>
    <t>BENABDERRAHMANE</t>
  </si>
  <si>
    <t>JOURDIER</t>
  </si>
  <si>
    <t>CANAL</t>
  </si>
  <si>
    <t>Anne</t>
  </si>
  <si>
    <t>MARCHAT</t>
  </si>
  <si>
    <t>LAGACHE</t>
  </si>
  <si>
    <t>LEPAPE</t>
  </si>
  <si>
    <t>Eva mari</t>
  </si>
  <si>
    <t>NEVES FERRETE</t>
  </si>
  <si>
    <t>AOUMAR</t>
  </si>
  <si>
    <t>DICK</t>
  </si>
  <si>
    <t>Nashwa</t>
  </si>
  <si>
    <t>MUSALLAM</t>
  </si>
  <si>
    <t>Titouan</t>
  </si>
  <si>
    <t>MALPOT</t>
  </si>
  <si>
    <t>Anahit</t>
  </si>
  <si>
    <t>TSATURYAN</t>
  </si>
  <si>
    <t>Rodolphe</t>
  </si>
  <si>
    <t>BLANCHE</t>
  </si>
  <si>
    <t>Issam</t>
  </si>
  <si>
    <t>Marjory</t>
  </si>
  <si>
    <t>HAMIOUI</t>
  </si>
  <si>
    <t>HAMLAOUI</t>
  </si>
  <si>
    <t>Mehmet-ali</t>
  </si>
  <si>
    <t>ERASLAN</t>
  </si>
  <si>
    <t>MEDRAN NAVARRETE</t>
  </si>
  <si>
    <t>BARTHEZ</t>
  </si>
  <si>
    <t>Svelta</t>
  </si>
  <si>
    <t>MIHAYLOVA</t>
  </si>
  <si>
    <t>TORT</t>
  </si>
  <si>
    <t>GIRARDBERTHET</t>
  </si>
  <si>
    <t>ZOUATINE</t>
  </si>
  <si>
    <t>CARDON</t>
  </si>
  <si>
    <t>Seda</t>
  </si>
  <si>
    <t>DALGIC</t>
  </si>
  <si>
    <t>ZOUAOUA</t>
  </si>
  <si>
    <t>MORI</t>
  </si>
  <si>
    <t>SPRINGER</t>
  </si>
  <si>
    <t>SOBCZACK</t>
  </si>
  <si>
    <t>Shanna</t>
  </si>
  <si>
    <t>HAMDI</t>
  </si>
  <si>
    <t>Yasmina</t>
  </si>
  <si>
    <t>CHEIKH</t>
  </si>
  <si>
    <t>DERMAKU</t>
  </si>
  <si>
    <t>HADOUR</t>
  </si>
  <si>
    <t>Amira</t>
  </si>
  <si>
    <t>VELIJA</t>
  </si>
  <si>
    <t>GUERIN</t>
  </si>
  <si>
    <t>Jamil</t>
  </si>
  <si>
    <t>Youssouf</t>
  </si>
  <si>
    <t>BARRY</t>
  </si>
  <si>
    <t>GOUXETTE</t>
  </si>
  <si>
    <t>Matthieu</t>
  </si>
  <si>
    <t>STABLER</t>
  </si>
  <si>
    <t>BELHADJ</t>
  </si>
  <si>
    <t>KOBEL</t>
  </si>
  <si>
    <t>DI BELLA</t>
  </si>
  <si>
    <t>Mehrez</t>
  </si>
  <si>
    <t>JENDOUBI</t>
  </si>
  <si>
    <t>LAPEL</t>
  </si>
  <si>
    <t>Jenny</t>
  </si>
  <si>
    <t>SOULAN</t>
  </si>
  <si>
    <t>Ewa</t>
  </si>
  <si>
    <t>TRYMBULOWICZ</t>
  </si>
  <si>
    <t>GAVARD</t>
  </si>
  <si>
    <t>ROTGER</t>
  </si>
  <si>
    <t>BENSOUNA</t>
  </si>
  <si>
    <t>ROBERT</t>
  </si>
  <si>
    <t>SADDIKI</t>
  </si>
  <si>
    <t>Engracia</t>
  </si>
  <si>
    <t>ESTEVES</t>
  </si>
  <si>
    <t>BONILLO</t>
  </si>
  <si>
    <t>MSAHLI</t>
  </si>
  <si>
    <t>ML-GE</t>
  </si>
  <si>
    <t>ML-CH</t>
  </si>
  <si>
    <t>PE-BA</t>
  </si>
  <si>
    <t>PE-CH</t>
  </si>
  <si>
    <t>PE-VA</t>
  </si>
  <si>
    <t>CD-BA</t>
  </si>
  <si>
    <t>CD-GE</t>
  </si>
  <si>
    <t>CD-CH</t>
  </si>
  <si>
    <t>CD-VA</t>
  </si>
  <si>
    <t>CI-BA</t>
  </si>
  <si>
    <t>CI-GE</t>
  </si>
  <si>
    <t>CI-VA</t>
  </si>
  <si>
    <t>ML-VA</t>
  </si>
  <si>
    <t>PE-GE</t>
  </si>
  <si>
    <t>NICOLLE</t>
  </si>
  <si>
    <t>RIVIERE</t>
  </si>
  <si>
    <t>DANDELOT</t>
  </si>
  <si>
    <t>PRUVOST SANTOS</t>
  </si>
  <si>
    <t>Erdal</t>
  </si>
  <si>
    <t>BICER</t>
  </si>
  <si>
    <t>Sali</t>
  </si>
  <si>
    <t>ASAN</t>
  </si>
  <si>
    <t>VIGNELLO</t>
  </si>
  <si>
    <t>P</t>
  </si>
  <si>
    <t>LEFRANCOIS</t>
  </si>
  <si>
    <t>Louise</t>
  </si>
  <si>
    <t>VALENTIN</t>
  </si>
  <si>
    <t>AI</t>
  </si>
  <si>
    <t>Sebastiano</t>
  </si>
  <si>
    <t>ZAPPALA</t>
  </si>
  <si>
    <t>Fadila</t>
  </si>
  <si>
    <t>BEN MESSAOUD</t>
  </si>
  <si>
    <t>Rui</t>
  </si>
  <si>
    <t>GOMES COUTINHO</t>
  </si>
  <si>
    <t>Marie-anne</t>
  </si>
  <si>
    <t>CEZARD</t>
  </si>
  <si>
    <t>RIGHETTI</t>
  </si>
  <si>
    <t>Teddy</t>
  </si>
  <si>
    <t>FORGEZ</t>
  </si>
  <si>
    <t>Abdelnaim-ryad</t>
  </si>
  <si>
    <t>ASLLANI</t>
  </si>
  <si>
    <t>Abdelouahab</t>
  </si>
  <si>
    <t>GUERINI</t>
  </si>
  <si>
    <t>REGO</t>
  </si>
  <si>
    <t>PLEVY</t>
  </si>
  <si>
    <t>Esther</t>
  </si>
  <si>
    <t>LEVET</t>
  </si>
  <si>
    <t>NASSER</t>
  </si>
  <si>
    <t>Solmaz</t>
  </si>
  <si>
    <t>ATES</t>
  </si>
  <si>
    <t>VASSIL</t>
  </si>
  <si>
    <t>E</t>
  </si>
  <si>
    <t>Salma</t>
  </si>
  <si>
    <t>ABOBAKAR ALHOR</t>
  </si>
  <si>
    <t>Sihem</t>
  </si>
  <si>
    <t>TLIJA</t>
  </si>
  <si>
    <t>Jean-michel</t>
  </si>
  <si>
    <t>HERODE</t>
  </si>
  <si>
    <t>JUDEAUX</t>
  </si>
  <si>
    <t>Farid</t>
  </si>
  <si>
    <t>SALMI</t>
  </si>
  <si>
    <t>CHARLETTY</t>
  </si>
  <si>
    <t>HERTOGE</t>
  </si>
  <si>
    <t>AI-BA</t>
  </si>
  <si>
    <t>AI-GE</t>
  </si>
  <si>
    <t>AI-CH</t>
  </si>
  <si>
    <t>AI-VA</t>
  </si>
  <si>
    <t>POIVERT</t>
  </si>
  <si>
    <t>SESKO</t>
  </si>
  <si>
    <t>Jivcu</t>
  </si>
  <si>
    <t>CALDARAS</t>
  </si>
  <si>
    <t>BEYALA BALTZER</t>
  </si>
  <si>
    <t>NGAMBENE</t>
  </si>
  <si>
    <t>SR</t>
  </si>
  <si>
    <t>Anthony</t>
  </si>
  <si>
    <t>FOURMANN</t>
  </si>
  <si>
    <t>Naïma</t>
  </si>
  <si>
    <t>QOBAA</t>
  </si>
  <si>
    <t>MISSILLIER</t>
  </si>
  <si>
    <t>Gulzade</t>
  </si>
  <si>
    <t>CEVIKBAS</t>
  </si>
  <si>
    <t>Karatekin</t>
  </si>
  <si>
    <t>DURKADIN</t>
  </si>
  <si>
    <t>LANTHIER</t>
  </si>
  <si>
    <t>RODRIGUES DE OLIVEIRA</t>
  </si>
  <si>
    <t>LAURENTI</t>
  </si>
  <si>
    <t>LIAUTAUD</t>
  </si>
  <si>
    <t>Ekram</t>
  </si>
  <si>
    <t>LAKHAL</t>
  </si>
  <si>
    <t>DETRAZ</t>
  </si>
  <si>
    <t>PAPA</t>
  </si>
  <si>
    <t>DAIME</t>
  </si>
  <si>
    <t>Jean-marc</t>
  </si>
  <si>
    <t>BOISIER</t>
  </si>
  <si>
    <t>Fehmi</t>
  </si>
  <si>
    <t>GRIBI</t>
  </si>
  <si>
    <t>JAULAIN</t>
  </si>
  <si>
    <t>LAMALEM TOUIJNI</t>
  </si>
  <si>
    <t>TIMMERMAN</t>
  </si>
  <si>
    <t>Hafedh</t>
  </si>
  <si>
    <t>BANNANI</t>
  </si>
  <si>
    <t>BENBACHA</t>
  </si>
  <si>
    <t>Yamna</t>
  </si>
  <si>
    <t>Eysia</t>
  </si>
  <si>
    <t>TRIA</t>
  </si>
  <si>
    <t>PASSERON</t>
  </si>
  <si>
    <t>RASTOLDO</t>
  </si>
  <si>
    <t>Hirije</t>
  </si>
  <si>
    <t>QERIMI</t>
  </si>
  <si>
    <t>MEZIANE</t>
  </si>
  <si>
    <t>Kurt</t>
  </si>
  <si>
    <t>HOFFMANN</t>
  </si>
  <si>
    <t>KOUADRI</t>
  </si>
  <si>
    <t>FALLAT</t>
  </si>
  <si>
    <t>Louis</t>
  </si>
  <si>
    <t>VIGNE</t>
  </si>
  <si>
    <t>Gwenaelle</t>
  </si>
  <si>
    <t>MORGAND</t>
  </si>
  <si>
    <t>Olfa</t>
  </si>
  <si>
    <t>TOUMI</t>
  </si>
  <si>
    <t>Fodel</t>
  </si>
  <si>
    <t>MEKNEF</t>
  </si>
  <si>
    <t>VAUFREY</t>
  </si>
  <si>
    <t>NIAINA</t>
  </si>
  <si>
    <t>DERBAL</t>
  </si>
  <si>
    <t>Mirvete</t>
  </si>
  <si>
    <t>Rrushe</t>
  </si>
  <si>
    <t>BIQMETI</t>
  </si>
  <si>
    <t>Mukadeze</t>
  </si>
  <si>
    <t>SR-BA</t>
  </si>
  <si>
    <t>SR-GE</t>
  </si>
  <si>
    <t>SR-CH</t>
  </si>
  <si>
    <t>SR-VA</t>
  </si>
  <si>
    <t>SPR</t>
  </si>
  <si>
    <t>Sevim</t>
  </si>
  <si>
    <t>BASAGAC</t>
  </si>
  <si>
    <t>DUPERREX</t>
  </si>
  <si>
    <t>LANZOTTI</t>
  </si>
  <si>
    <t>Eric</t>
  </si>
  <si>
    <t>TREMBLAY</t>
  </si>
  <si>
    <t>Tilbi</t>
  </si>
  <si>
    <t>MALAGOUEN</t>
  </si>
  <si>
    <t>Brahim</t>
  </si>
  <si>
    <t>MORCHID</t>
  </si>
  <si>
    <t>FAYARD</t>
  </si>
  <si>
    <t>Paul</t>
  </si>
  <si>
    <t>BRATU</t>
  </si>
  <si>
    <t>Pms</t>
  </si>
  <si>
    <t>BONNEVILLE</t>
  </si>
  <si>
    <t>Fernando</t>
  </si>
  <si>
    <t>FABBRI</t>
  </si>
  <si>
    <t>Roseline</t>
  </si>
  <si>
    <t>MEGHEZZI</t>
  </si>
  <si>
    <t>Frédéric</t>
  </si>
  <si>
    <t>Stephane</t>
  </si>
  <si>
    <t>BOUCHEMOUSSE</t>
  </si>
  <si>
    <t>BAYER</t>
  </si>
  <si>
    <t>Maira</t>
  </si>
  <si>
    <t>BOYER</t>
  </si>
  <si>
    <t>CHAUFFARD</t>
  </si>
  <si>
    <t>Martial</t>
  </si>
  <si>
    <t>ATANE</t>
  </si>
  <si>
    <t>BIZIEAU</t>
  </si>
  <si>
    <t>Gaelle</t>
  </si>
  <si>
    <t>VALLET</t>
  </si>
  <si>
    <t>Maryline</t>
  </si>
  <si>
    <t>GONOD</t>
  </si>
  <si>
    <r>
      <rPr>
        <sz val="16"/>
        <color rgb="FFFF0000"/>
        <rFont val="Century Gothic"/>
        <family val="1"/>
      </rPr>
      <t>P</t>
    </r>
    <r>
      <rPr>
        <sz val="16"/>
        <color theme="1"/>
        <rFont val="Century Gothic"/>
        <family val="1"/>
      </rPr>
      <t xml:space="preserve">arcours </t>
    </r>
    <r>
      <rPr>
        <sz val="16"/>
        <color rgb="FFFF0000"/>
        <rFont val="Century Gothic"/>
        <family val="1"/>
      </rPr>
      <t>S</t>
    </r>
    <r>
      <rPr>
        <sz val="16"/>
        <color theme="1"/>
        <rFont val="Century Gothic"/>
        <family val="1"/>
      </rPr>
      <t xml:space="preserve">anté </t>
    </r>
    <r>
      <rPr>
        <sz val="16"/>
        <color rgb="FFFF0000"/>
        <rFont val="Century Gothic"/>
        <family val="1"/>
      </rPr>
      <t>E</t>
    </r>
    <r>
      <rPr>
        <sz val="16"/>
        <color theme="1"/>
        <rFont val="Century Gothic"/>
        <family val="1"/>
      </rPr>
      <t xml:space="preserve">mployabilité </t>
    </r>
    <r>
      <rPr>
        <sz val="16"/>
        <color rgb="FFFF0000"/>
        <rFont val="Century Gothic"/>
        <family val="1"/>
      </rPr>
      <t>A</t>
    </r>
    <r>
      <rPr>
        <sz val="16"/>
        <color theme="1"/>
        <rFont val="Century Gothic"/>
        <family val="1"/>
      </rPr>
      <t xml:space="preserve">ctivité </t>
    </r>
    <r>
      <rPr>
        <sz val="16"/>
        <color theme="1" tint="0.499984740745262"/>
        <rFont val="Century Gothic"/>
        <family val="1"/>
      </rPr>
      <t>Statistiques 2024-2025</t>
    </r>
  </si>
  <si>
    <t>avr</t>
  </si>
  <si>
    <t>Alexandro</t>
  </si>
  <si>
    <t>GALLO</t>
  </si>
  <si>
    <t>BAS</t>
  </si>
  <si>
    <t>CLONERY</t>
  </si>
  <si>
    <t>DE DOMINICIS</t>
  </si>
  <si>
    <t>Ayhan</t>
  </si>
  <si>
    <t>ISIK</t>
  </si>
  <si>
    <t>Davy</t>
  </si>
  <si>
    <t>ROGEAUX</t>
  </si>
  <si>
    <t>MBALLA</t>
  </si>
  <si>
    <t>Katia</t>
  </si>
  <si>
    <t>SARTELLI</t>
  </si>
  <si>
    <t>TALBI</t>
  </si>
  <si>
    <t>M</t>
  </si>
  <si>
    <t>VASSY</t>
  </si>
  <si>
    <t>SAHLI</t>
  </si>
  <si>
    <t>ZELLAL</t>
  </si>
  <si>
    <t>Denis</t>
  </si>
  <si>
    <t>DIDIER</t>
  </si>
  <si>
    <t>BOUJEMAA</t>
  </si>
  <si>
    <t>MANSEUR</t>
  </si>
  <si>
    <t>Francois</t>
  </si>
  <si>
    <t>Nikoloz</t>
  </si>
  <si>
    <t>GABELAIA</t>
  </si>
  <si>
    <t>NIGET</t>
  </si>
  <si>
    <t>Xavier</t>
  </si>
  <si>
    <t>ISEPETTO</t>
  </si>
  <si>
    <t>Guillemette</t>
  </si>
  <si>
    <t>CHANGEA</t>
  </si>
  <si>
    <t>ENRIQUE</t>
  </si>
  <si>
    <t>Morgane</t>
  </si>
  <si>
    <t>GIDROL</t>
  </si>
  <si>
    <t>Sevda</t>
  </si>
  <si>
    <t>ER</t>
  </si>
  <si>
    <t>Erika</t>
  </si>
  <si>
    <t>CHRISTY</t>
  </si>
  <si>
    <t>Mustafa</t>
  </si>
  <si>
    <t>YILDIRIM</t>
  </si>
  <si>
    <t>Raphaelle</t>
  </si>
  <si>
    <t>FONTAINE</t>
  </si>
  <si>
    <t>Kevser</t>
  </si>
  <si>
    <t>AVCI</t>
  </si>
  <si>
    <t>Vorachith</t>
  </si>
  <si>
    <t>NAKMANY</t>
  </si>
  <si>
    <t>GAULET</t>
  </si>
  <si>
    <t>Murside</t>
  </si>
  <si>
    <t>OZDEMIR</t>
  </si>
  <si>
    <t>Marie-hélène</t>
  </si>
  <si>
    <t>LELOUCH</t>
  </si>
  <si>
    <t>LALLOUCHE</t>
  </si>
  <si>
    <t>CHOUBANI</t>
  </si>
  <si>
    <t>Meghane</t>
  </si>
  <si>
    <t>VIOLET</t>
  </si>
  <si>
    <t>Nadije</t>
  </si>
  <si>
    <t>SADIKU</t>
  </si>
  <si>
    <t>Marylène</t>
  </si>
  <si>
    <t>LETO</t>
  </si>
  <si>
    <t>Elisabeth</t>
  </si>
  <si>
    <t>ARPAGAUS</t>
  </si>
  <si>
    <t>DENISI</t>
  </si>
  <si>
    <t>TAMBALOTTI LENARD</t>
  </si>
  <si>
    <t>Gueladio</t>
  </si>
  <si>
    <t>MARAH</t>
  </si>
  <si>
    <t>Lena</t>
  </si>
  <si>
    <t>YACOUB</t>
  </si>
  <si>
    <t>RUFFIER</t>
  </si>
  <si>
    <t>IF</t>
  </si>
  <si>
    <t>GARIN</t>
  </si>
  <si>
    <t>Abdelilah</t>
  </si>
  <si>
    <t>IDRISSI</t>
  </si>
  <si>
    <t>Vjjollce</t>
  </si>
  <si>
    <t>VJUKAJ</t>
  </si>
  <si>
    <t>JAQUET</t>
  </si>
  <si>
    <t>MILLIER</t>
  </si>
  <si>
    <t>BRIDAULT</t>
  </si>
  <si>
    <t>Renaud</t>
  </si>
  <si>
    <t>SERIGNAT</t>
  </si>
  <si>
    <t>Maxence</t>
  </si>
  <si>
    <t>GIUSTINO</t>
  </si>
  <si>
    <t>Lucia</t>
  </si>
  <si>
    <t>MARTINEZ</t>
  </si>
  <si>
    <t>Margaux</t>
  </si>
  <si>
    <t>KLETHI</t>
  </si>
  <si>
    <t>RIFFIN</t>
  </si>
  <si>
    <t>PEDAT</t>
  </si>
  <si>
    <t>CDI temps plein</t>
  </si>
  <si>
    <t>AAH REFUSEE - RECOURS ADMINISTRATIF EN COURS</t>
  </si>
  <si>
    <t>OBTENTION AAH rsdae 5</t>
  </si>
  <si>
    <t>Jerome</t>
  </si>
  <si>
    <t>DIRASSEN</t>
  </si>
  <si>
    <t>LAURIER</t>
  </si>
  <si>
    <t>BORGES GELO</t>
  </si>
  <si>
    <t>MOROSATO</t>
  </si>
  <si>
    <t>Gina</t>
  </si>
  <si>
    <t>CELI CERRUTI</t>
  </si>
  <si>
    <t>TAMAGNY</t>
  </si>
  <si>
    <t>GAGNEUX</t>
  </si>
  <si>
    <t>Berkanoua</t>
  </si>
  <si>
    <t>SAFIA</t>
  </si>
  <si>
    <t>Jean</t>
  </si>
  <si>
    <t>Rabyatou</t>
  </si>
  <si>
    <t>SYLLA</t>
  </si>
  <si>
    <t>DOUGY</t>
  </si>
  <si>
    <t>Jean-Jaques Buffet</t>
  </si>
  <si>
    <t>Sultana</t>
  </si>
  <si>
    <t>TAHANI</t>
  </si>
  <si>
    <t>Claude hélène</t>
  </si>
  <si>
    <t>Lamour</t>
  </si>
  <si>
    <t>JEAN</t>
  </si>
  <si>
    <t>Eleonore</t>
  </si>
  <si>
    <t>PADRE</t>
  </si>
  <si>
    <t>BIANCHI</t>
  </si>
  <si>
    <t>Fethi</t>
  </si>
  <si>
    <t>LOUHICHI</t>
  </si>
  <si>
    <t>Gultekin</t>
  </si>
  <si>
    <t>OZTURK</t>
  </si>
  <si>
    <t>GISQUET</t>
  </si>
  <si>
    <t>BOUVET</t>
  </si>
  <si>
    <t>Logan</t>
  </si>
  <si>
    <t>DUCOURNEAU ADLER</t>
  </si>
  <si>
    <t>K</t>
  </si>
  <si>
    <t>BAKI</t>
  </si>
  <si>
    <t>Elsa</t>
  </si>
  <si>
    <t>BONNET COBLENTZ</t>
  </si>
  <si>
    <t>Stéphane</t>
  </si>
  <si>
    <t>RUIZ</t>
  </si>
  <si>
    <t>CLAIR</t>
  </si>
  <si>
    <t>Loïc</t>
  </si>
  <si>
    <t>LAUNOY</t>
  </si>
  <si>
    <t>Farida</t>
  </si>
  <si>
    <t>FELLAHI</t>
  </si>
  <si>
    <t>GIACOMOTTI</t>
  </si>
  <si>
    <t>Ouiam</t>
  </si>
  <si>
    <t>EL HOUSSINE</t>
  </si>
  <si>
    <t>Gabriel</t>
  </si>
  <si>
    <t>DI BATTISTA</t>
  </si>
  <si>
    <t>FARHAT</t>
  </si>
  <si>
    <t>Yana</t>
  </si>
  <si>
    <t>LEROY</t>
  </si>
  <si>
    <t>Leila</t>
  </si>
  <si>
    <t>BELGHARBI</t>
  </si>
  <si>
    <t>Vandana-lenuta</t>
  </si>
  <si>
    <t>Celal</t>
  </si>
  <si>
    <t>ULUBEY</t>
  </si>
  <si>
    <t>Driton</t>
  </si>
  <si>
    <t>Naim</t>
  </si>
  <si>
    <t>BYTYQI</t>
  </si>
  <si>
    <t>VUILLERMIN</t>
  </si>
  <si>
    <t>Vlere</t>
  </si>
  <si>
    <t>BAJRAMI</t>
  </si>
  <si>
    <t>Bélinda</t>
  </si>
  <si>
    <t>LAMBIN</t>
  </si>
  <si>
    <t>Minevere</t>
  </si>
  <si>
    <t>BLLACA</t>
  </si>
  <si>
    <t>BRIANCON</t>
  </si>
  <si>
    <t>Marie- noëlle</t>
  </si>
  <si>
    <t>WAINE</t>
  </si>
  <si>
    <t>Fathia</t>
  </si>
  <si>
    <t>HMIDA</t>
  </si>
  <si>
    <t>Jeanine</t>
  </si>
  <si>
    <t>PIGNARD</t>
  </si>
  <si>
    <t>Miguel</t>
  </si>
  <si>
    <t>PAUL</t>
  </si>
  <si>
    <t>MOKHLISS</t>
  </si>
  <si>
    <t>Chantal</t>
  </si>
  <si>
    <t>VULLIEZ</t>
  </si>
  <si>
    <t>ROMEAS</t>
  </si>
  <si>
    <t>Chris</t>
  </si>
  <si>
    <t>MATHIAS</t>
  </si>
  <si>
    <t>Yohanna</t>
  </si>
  <si>
    <t>CHEVALLIER</t>
  </si>
  <si>
    <t>KHARCHOUFA</t>
  </si>
  <si>
    <t>Clea</t>
  </si>
  <si>
    <t>MARTH</t>
  </si>
  <si>
    <t>AAH REFUSEE -RECOURS AMIABLE EN COURS</t>
  </si>
  <si>
    <t>ORIENTATION CMP</t>
  </si>
  <si>
    <t>mai</t>
  </si>
  <si>
    <t>juin</t>
  </si>
  <si>
    <t>IF-BA</t>
  </si>
  <si>
    <t>IF-GE</t>
  </si>
  <si>
    <t>IF-CH</t>
  </si>
  <si>
    <t>IF-VA</t>
  </si>
  <si>
    <t>WIENCKE</t>
  </si>
  <si>
    <t>CAZADE</t>
  </si>
  <si>
    <t>Myriam</t>
  </si>
  <si>
    <t>AZAHAF BENKADA</t>
  </si>
  <si>
    <t>Jamal</t>
  </si>
  <si>
    <t>HIND</t>
  </si>
  <si>
    <t>CRUNCHANT</t>
  </si>
  <si>
    <t>Fortis</t>
  </si>
  <si>
    <t>SYLVIE</t>
  </si>
  <si>
    <t>ZAABOUNA</t>
  </si>
  <si>
    <t>BOUAMAMA</t>
  </si>
  <si>
    <t>Arlette</t>
  </si>
  <si>
    <t>CHARRIERE</t>
  </si>
  <si>
    <t>Viviane</t>
  </si>
  <si>
    <t>ROULAND</t>
  </si>
  <si>
    <t>VORACHACK</t>
  </si>
  <si>
    <t>Andreanne</t>
  </si>
  <si>
    <t>TROTTE</t>
  </si>
  <si>
    <t>Rachida</t>
  </si>
  <si>
    <t>POUGET</t>
  </si>
  <si>
    <t>MARAIS</t>
  </si>
  <si>
    <t>Malaytong</t>
  </si>
  <si>
    <t>CHALILATH</t>
  </si>
  <si>
    <t>FOURCAULT</t>
  </si>
  <si>
    <t>AYADI</t>
  </si>
  <si>
    <t>Hediye</t>
  </si>
  <si>
    <t>GEYIK</t>
  </si>
  <si>
    <t>BOUCART ARAKHSIS</t>
  </si>
  <si>
    <t>Jean-claude</t>
  </si>
  <si>
    <t>RWAMIHIGO</t>
  </si>
  <si>
    <t>Cyndie</t>
  </si>
  <si>
    <t>DEVOUASSOUX</t>
  </si>
  <si>
    <t>Marlene</t>
  </si>
  <si>
    <t>Sylvia</t>
  </si>
  <si>
    <t>FLORES</t>
  </si>
  <si>
    <t>Gaetan</t>
  </si>
  <si>
    <t>MASSEE</t>
  </si>
  <si>
    <t>FONTENLA</t>
  </si>
  <si>
    <t>Jade</t>
  </si>
  <si>
    <t>CHEVALLAY</t>
  </si>
  <si>
    <t>Ioana</t>
  </si>
  <si>
    <t>DRAGOI</t>
  </si>
  <si>
    <t>Rithy</t>
  </si>
  <si>
    <t>HOUL</t>
  </si>
  <si>
    <t>Nancy</t>
  </si>
  <si>
    <t>ALVES DA SILVA</t>
  </si>
  <si>
    <t>Anne-charlotte</t>
  </si>
  <si>
    <t>NISBET</t>
  </si>
  <si>
    <t>Germaine</t>
  </si>
  <si>
    <t>ADEL</t>
  </si>
  <si>
    <t>Gian marco</t>
  </si>
  <si>
    <t>MIROGLIO</t>
  </si>
  <si>
    <t>Patrick</t>
  </si>
  <si>
    <t>MEKIDECHE</t>
  </si>
  <si>
    <t>PARSY</t>
  </si>
  <si>
    <t>Seydou</t>
  </si>
  <si>
    <t>DOUMBIA</t>
  </si>
  <si>
    <t>Ilie</t>
  </si>
  <si>
    <t>Kantach</t>
  </si>
  <si>
    <t>ZOHRA</t>
  </si>
  <si>
    <t>LEGRAND</t>
  </si>
  <si>
    <t>Erwan</t>
  </si>
  <si>
    <t>RUELLAN</t>
  </si>
  <si>
    <t>MARQUIS</t>
  </si>
  <si>
    <t>GENOUD MOREAU</t>
  </si>
  <si>
    <t>Armelle</t>
  </si>
  <si>
    <t>KERVAHUT</t>
  </si>
  <si>
    <t>Abdelghani</t>
  </si>
  <si>
    <t>BOUDEBOUZ</t>
  </si>
  <si>
    <t>Aminata</t>
  </si>
  <si>
    <t>Anne-sophie</t>
  </si>
  <si>
    <t>GRETER</t>
  </si>
  <si>
    <t>TR</t>
  </si>
  <si>
    <t>Jeremy</t>
  </si>
  <si>
    <t>LECLAIRE</t>
  </si>
  <si>
    <t>Rodrigo</t>
  </si>
  <si>
    <t>DE OLIVEIRA BARREIRA</t>
  </si>
  <si>
    <t>Beatrice</t>
  </si>
  <si>
    <t>VALLE</t>
  </si>
  <si>
    <t>POUCHIN</t>
  </si>
  <si>
    <t>Fouad</t>
  </si>
  <si>
    <t>MAGOURA</t>
  </si>
  <si>
    <t>CROENNE</t>
  </si>
  <si>
    <t>LICCIARDELO</t>
  </si>
  <si>
    <t>VERNHES</t>
  </si>
  <si>
    <t>Fatimah</t>
  </si>
  <si>
    <t>ABAKARIM</t>
  </si>
  <si>
    <t>Ben yaya</t>
  </si>
  <si>
    <t>TARIK</t>
  </si>
  <si>
    <t>Sabri</t>
  </si>
  <si>
    <t>LALLOUACHE</t>
  </si>
  <si>
    <t>Ali</t>
  </si>
  <si>
    <t>CHAMI</t>
  </si>
  <si>
    <t>Dylbere</t>
  </si>
  <si>
    <t>MALOKU</t>
  </si>
  <si>
    <t>POIRIER</t>
  </si>
  <si>
    <t>MEYROU</t>
  </si>
  <si>
    <t>MENAGE</t>
  </si>
  <si>
    <t>Maelys</t>
  </si>
  <si>
    <t>Turkan</t>
  </si>
  <si>
    <t>KUCUKKAYA</t>
  </si>
  <si>
    <t>P11 DOSSIER DE RNVLT AAH</t>
  </si>
  <si>
    <t>Christian</t>
  </si>
  <si>
    <t>CAYUELA</t>
  </si>
  <si>
    <t>CDI temps partiel</t>
  </si>
  <si>
    <t>TR-GE</t>
  </si>
  <si>
    <t>juil</t>
  </si>
  <si>
    <t>Sebastien</t>
  </si>
  <si>
    <t>FORMET</t>
  </si>
  <si>
    <t>SERRANO</t>
  </si>
  <si>
    <t>Sediquillah</t>
  </si>
  <si>
    <t>BABAKERKHIL</t>
  </si>
  <si>
    <t>PERFETTI</t>
  </si>
  <si>
    <t>BETON</t>
  </si>
  <si>
    <t>SAGOT</t>
  </si>
  <si>
    <t>TOUIHRI</t>
  </si>
  <si>
    <t>PERISSE</t>
  </si>
  <si>
    <t>RONDEL</t>
  </si>
  <si>
    <t>ROUX</t>
  </si>
  <si>
    <t>Boukhenis</t>
  </si>
  <si>
    <t>Jordan</t>
  </si>
  <si>
    <t>LASTERNAS</t>
  </si>
  <si>
    <t>El amine</t>
  </si>
  <si>
    <t>MOUEDDENE MOHAMMED</t>
  </si>
  <si>
    <t>SIINO</t>
  </si>
  <si>
    <t>Fevzije</t>
  </si>
  <si>
    <t>SAHITI</t>
  </si>
  <si>
    <t>août</t>
  </si>
  <si>
    <t>Fatoumata</t>
  </si>
  <si>
    <t>DIABY</t>
  </si>
  <si>
    <t>BARI</t>
  </si>
  <si>
    <t>Anissa</t>
  </si>
  <si>
    <t>ZAITER</t>
  </si>
  <si>
    <t>Fred</t>
  </si>
  <si>
    <t>BAUBIGNY</t>
  </si>
  <si>
    <t>Mahfoud</t>
  </si>
  <si>
    <t>BELLIL</t>
  </si>
  <si>
    <t>Jacques-edouard</t>
  </si>
  <si>
    <t>DUJOUR</t>
  </si>
  <si>
    <t>MATON</t>
  </si>
  <si>
    <t>DROISSART</t>
  </si>
  <si>
    <t>Frederique</t>
  </si>
  <si>
    <t>DELONNELLE</t>
  </si>
  <si>
    <t>Genarta</t>
  </si>
  <si>
    <t>QERKINAJ</t>
  </si>
  <si>
    <t>GUIDI</t>
  </si>
  <si>
    <t>ROUZAUD</t>
  </si>
  <si>
    <t>Romain</t>
  </si>
  <si>
    <t>NOUVELLE</t>
  </si>
  <si>
    <t>ANSCHWILLER</t>
  </si>
  <si>
    <t>Valton</t>
  </si>
  <si>
    <t>MEMETI</t>
  </si>
  <si>
    <t>Pierre</t>
  </si>
  <si>
    <t>JACQUEMET</t>
  </si>
  <si>
    <t>CUGNOT</t>
  </si>
  <si>
    <t>Moina-halima</t>
  </si>
  <si>
    <t>ABDOULHAMID</t>
  </si>
  <si>
    <t>CUREY</t>
  </si>
  <si>
    <t>Wassila</t>
  </si>
  <si>
    <t>ELOUARDI</t>
  </si>
  <si>
    <t>Laurent</t>
  </si>
  <si>
    <t>LACHENAL</t>
  </si>
  <si>
    <t>Raquel</t>
  </si>
  <si>
    <t>LOPESMARQUES</t>
  </si>
  <si>
    <t>Mounira</t>
  </si>
  <si>
    <t>REVUZ</t>
  </si>
  <si>
    <t>DHERTOGE</t>
  </si>
  <si>
    <t>Ophelia</t>
  </si>
  <si>
    <t>METRAL</t>
  </si>
  <si>
    <t>Fradj adel</t>
  </si>
  <si>
    <t>FERJANI</t>
  </si>
  <si>
    <t>Sarra</t>
  </si>
  <si>
    <t>KEHIL</t>
  </si>
  <si>
    <t>LE BRETON</t>
  </si>
  <si>
    <t>Cassin</t>
  </si>
  <si>
    <t>EMMANUEL</t>
  </si>
  <si>
    <t>Salka</t>
  </si>
  <si>
    <t>DAMHANE</t>
  </si>
  <si>
    <t>Carmendefatima</t>
  </si>
  <si>
    <t>CAMPANA</t>
  </si>
  <si>
    <t>DERUESNE</t>
  </si>
  <si>
    <t>BLOQUEL</t>
  </si>
  <si>
    <t>Latifa</t>
  </si>
  <si>
    <t>NECHAT</t>
  </si>
  <si>
    <t>Diane</t>
  </si>
  <si>
    <t>FORNER</t>
  </si>
  <si>
    <t>Malik</t>
  </si>
  <si>
    <t>BOUTOUATOU</t>
  </si>
  <si>
    <t>Gael</t>
  </si>
  <si>
    <t>MONTOUCHET</t>
  </si>
  <si>
    <t>Loria</t>
  </si>
  <si>
    <t>LAHRICHI</t>
  </si>
  <si>
    <t>HUND</t>
  </si>
  <si>
    <t>EL ABDOUNI</t>
  </si>
  <si>
    <t>Yasmine</t>
  </si>
  <si>
    <t>SEBBAR</t>
  </si>
  <si>
    <t>Fateh</t>
  </si>
  <si>
    <t>ALLAF</t>
  </si>
  <si>
    <t>MILLET</t>
  </si>
  <si>
    <t>Benjamin</t>
  </si>
  <si>
    <t>GOUMON</t>
  </si>
  <si>
    <t>Astrid</t>
  </si>
  <si>
    <t>BIQUE</t>
  </si>
  <si>
    <t>LADJEROUD</t>
  </si>
  <si>
    <t>THIERY</t>
  </si>
  <si>
    <t>PETIT</t>
  </si>
  <si>
    <t>Aliénor</t>
  </si>
  <si>
    <t>GUICHARD</t>
  </si>
  <si>
    <t>Jean francois</t>
  </si>
  <si>
    <t>GERVAIS</t>
  </si>
  <si>
    <t>Eliana</t>
  </si>
  <si>
    <t>DAVENTURE</t>
  </si>
  <si>
    <t>Sulaiman</t>
  </si>
  <si>
    <t>MOHAMED SULAIMAN</t>
  </si>
  <si>
    <t>Shpresa</t>
  </si>
  <si>
    <t>Miloud</t>
  </si>
  <si>
    <t>GUERBOUZ</t>
  </si>
  <si>
    <t>Gargot</t>
  </si>
  <si>
    <t>BARBINE</t>
  </si>
  <si>
    <t>sept</t>
  </si>
  <si>
    <t>debcer</t>
  </si>
  <si>
    <t>fincer</t>
  </si>
  <si>
    <t>debcer2</t>
  </si>
  <si>
    <t>fincer2</t>
  </si>
  <si>
    <t>JAOUADI</t>
  </si>
  <si>
    <t>Lotfi</t>
  </si>
  <si>
    <t>SLIM</t>
  </si>
  <si>
    <t>Salome</t>
  </si>
  <si>
    <t>José</t>
  </si>
  <si>
    <t>TROMBERT</t>
  </si>
  <si>
    <t>DURAND</t>
  </si>
  <si>
    <t>Yann</t>
  </si>
  <si>
    <t>ALLAIN</t>
  </si>
  <si>
    <t>Noemie</t>
  </si>
  <si>
    <t>PEREIRA</t>
  </si>
  <si>
    <t>Rui manuel</t>
  </si>
  <si>
    <t>DA SILVA</t>
  </si>
  <si>
    <t>Floriane</t>
  </si>
  <si>
    <t>CHATRON-MICHAUD</t>
  </si>
  <si>
    <t>Elia</t>
  </si>
  <si>
    <t>DE ARAUJO</t>
  </si>
  <si>
    <t>R-</t>
  </si>
  <si>
    <t>Emrullah</t>
  </si>
  <si>
    <t>DURSUN</t>
  </si>
  <si>
    <t>Marieline</t>
  </si>
  <si>
    <t>DEGUILLY</t>
  </si>
  <si>
    <t>LAJIMI</t>
  </si>
  <si>
    <t>Monika</t>
  </si>
  <si>
    <t>WAGNER</t>
  </si>
  <si>
    <t>Safeta</t>
  </si>
  <si>
    <t>GOBELJIC</t>
  </si>
  <si>
    <t>GUILLOUD</t>
  </si>
  <si>
    <t>D'HERTOGE</t>
  </si>
  <si>
    <t>Bruno</t>
  </si>
  <si>
    <t>REPLUMAZ</t>
  </si>
  <si>
    <t>Sabah</t>
  </si>
  <si>
    <t>HANI</t>
  </si>
  <si>
    <t>LECRAZ</t>
  </si>
  <si>
    <t>GOSSET</t>
  </si>
  <si>
    <t>Virginie</t>
  </si>
  <si>
    <t>MOCELLIN</t>
  </si>
  <si>
    <t>ZEFIC</t>
  </si>
  <si>
    <t>Asmus</t>
  </si>
  <si>
    <t>LOUISE</t>
  </si>
  <si>
    <t>Gaminete</t>
  </si>
  <si>
    <t>SHALA</t>
  </si>
  <si>
    <t>GIRARD BERTHET</t>
  </si>
  <si>
    <t>ETOURNAUD</t>
  </si>
  <si>
    <t>Alizee</t>
  </si>
  <si>
    <t>SEVESTRE</t>
  </si>
  <si>
    <t>Typhaine</t>
  </si>
  <si>
    <t>DJALEM</t>
  </si>
  <si>
    <t>BALLAND</t>
  </si>
  <si>
    <t>ZOUAOUI</t>
  </si>
  <si>
    <t>COTTIN</t>
  </si>
  <si>
    <t>Bryan</t>
  </si>
  <si>
    <t>FAILLE</t>
  </si>
  <si>
    <t>Ernest</t>
  </si>
  <si>
    <t>ARNAUD GODDET</t>
  </si>
  <si>
    <t>LIEVIN</t>
  </si>
  <si>
    <t>BOURICHA</t>
  </si>
  <si>
    <t>Thouraya</t>
  </si>
  <si>
    <t>BEN FREDJ</t>
  </si>
  <si>
    <t>AHMED YETTOU</t>
  </si>
  <si>
    <t>DEVILLE</t>
  </si>
  <si>
    <t>OBTENTION AAH rsdae</t>
  </si>
  <si>
    <t>Jean-luc</t>
  </si>
  <si>
    <t>KADIRI</t>
  </si>
  <si>
    <t>Daniel</t>
  </si>
  <si>
    <t>CROS</t>
  </si>
  <si>
    <t>Georges</t>
  </si>
  <si>
    <t>RENARD</t>
  </si>
  <si>
    <t>CESFGDV</t>
  </si>
  <si>
    <t>SA</t>
  </si>
  <si>
    <t>Emmanuel</t>
  </si>
  <si>
    <t>CASSIN</t>
  </si>
  <si>
    <t>OBTENTION RQTH ET ORP ESRP</t>
  </si>
  <si>
    <t>AAH REFUSEE</t>
  </si>
  <si>
    <t>SA-BA</t>
  </si>
  <si>
    <t>SA-VA</t>
  </si>
  <si>
    <t>SA-GE</t>
  </si>
  <si>
    <t>SA-CH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</si>
</sst>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entury Gothic"/>
      <family val="1"/>
    </font>
    <font>
      <b/>
      <sz val="12"/>
      <color theme="1"/>
      <name val="Century Gothic"/>
      <family val="1"/>
    </font>
    <font>
      <sz val="12"/>
      <color theme="0"/>
      <name val="Century Gothic"/>
      <family val="1"/>
    </font>
    <font>
      <sz val="10"/>
      <color theme="1"/>
      <name val="Century Gothic"/>
      <family val="1"/>
    </font>
    <font>
      <b/>
      <sz val="12"/>
      <color theme="0"/>
      <name val="Century Gothic"/>
      <family val="1"/>
    </font>
    <font>
      <b/>
      <sz val="12"/>
      <color theme="1"/>
      <name val="Century Gothic"/>
      <family val="2"/>
    </font>
    <font>
      <i/>
      <sz val="9"/>
      <color theme="1"/>
      <name val="Century Gothic"/>
      <family val="2"/>
    </font>
    <font>
      <sz val="10"/>
      <color theme="0"/>
      <name val="Century Gothic"/>
      <family val="1"/>
    </font>
    <font>
      <b/>
      <sz val="12"/>
      <color theme="0"/>
      <name val="Century Gothic"/>
      <family val="2"/>
    </font>
    <font>
      <b/>
      <sz val="9"/>
      <color theme="1"/>
      <name val="Century Gothic"/>
      <family val="1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theme="1"/>
      <name val="Century Gothic"/>
      <family val="1"/>
    </font>
    <font>
      <sz val="16"/>
      <color rgb="FFFF0000"/>
      <name val="Century Gothic"/>
      <family val="1"/>
    </font>
    <font>
      <sz val="16"/>
      <color theme="1" tint="0.499984740745262"/>
      <name val="Century Gothic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5" borderId="3" xfId="0" applyFont="1" applyFill="1" applyBorder="1"/>
    <xf numFmtId="0" fontId="3" fillId="0" borderId="4" xfId="0" applyFont="1" applyBorder="1"/>
    <xf numFmtId="0" fontId="3" fillId="0" borderId="5" xfId="0" applyFont="1" applyBorder="1"/>
    <xf numFmtId="0" fontId="3" fillId="4" borderId="0" xfId="0" applyFont="1" applyFill="1"/>
    <xf numFmtId="0" fontId="7" fillId="5" borderId="5" xfId="0" applyFont="1" applyFill="1" applyBorder="1" applyAlignment="1">
      <alignment horizontal="center"/>
    </xf>
    <xf numFmtId="0" fontId="6" fillId="0" borderId="0" xfId="0" applyFont="1" applyAlignment="1">
      <alignment horizontal="centerContinuous"/>
    </xf>
    <xf numFmtId="0" fontId="6" fillId="0" borderId="4" xfId="0" applyFont="1" applyBorder="1"/>
    <xf numFmtId="0" fontId="6" fillId="0" borderId="4" xfId="0" applyFont="1" applyBorder="1" applyAlignment="1">
      <alignment horizontal="centerContinuous"/>
    </xf>
    <xf numFmtId="0" fontId="10" fillId="3" borderId="4" xfId="0" applyFont="1" applyFill="1" applyBorder="1"/>
    <xf numFmtId="0" fontId="5" fillId="3" borderId="0" xfId="0" applyFont="1" applyFill="1"/>
    <xf numFmtId="0" fontId="11" fillId="5" borderId="5" xfId="0" applyFont="1" applyFill="1" applyBorder="1" applyAlignment="1">
      <alignment horizontal="center"/>
    </xf>
    <xf numFmtId="0" fontId="5" fillId="4" borderId="0" xfId="0" applyFont="1" applyFill="1"/>
    <xf numFmtId="0" fontId="3" fillId="8" borderId="4" xfId="0" applyFont="1" applyFill="1" applyBorder="1"/>
    <xf numFmtId="0" fontId="3" fillId="8" borderId="0" xfId="0" applyFont="1" applyFill="1"/>
    <xf numFmtId="0" fontId="5" fillId="7" borderId="4" xfId="0" applyFont="1" applyFill="1" applyBorder="1"/>
    <xf numFmtId="0" fontId="5" fillId="7" borderId="0" xfId="0" applyFont="1" applyFill="1"/>
    <xf numFmtId="0" fontId="8" fillId="0" borderId="0" xfId="0" applyFont="1"/>
    <xf numFmtId="0" fontId="5" fillId="4" borderId="4" xfId="0" applyFont="1" applyFill="1" applyBorder="1"/>
    <xf numFmtId="0" fontId="5" fillId="4" borderId="0" xfId="0" applyFont="1" applyFill="1" applyAlignment="1">
      <alignment horizontal="center"/>
    </xf>
    <xf numFmtId="0" fontId="5" fillId="4" borderId="6" xfId="0" applyFont="1" applyFill="1" applyBorder="1"/>
    <xf numFmtId="0" fontId="5" fillId="4" borderId="7" xfId="0" applyFont="1" applyFill="1" applyBorder="1"/>
    <xf numFmtId="0" fontId="5" fillId="4" borderId="7" xfId="0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4" fillId="2" borderId="5" xfId="0" applyFont="1" applyFill="1" applyBorder="1" applyAlignment="1">
      <alignment horizontal="center"/>
    </xf>
    <xf numFmtId="0" fontId="4" fillId="9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8" fillId="0" borderId="5" xfId="0" applyFont="1" applyBorder="1"/>
    <xf numFmtId="9" fontId="11" fillId="5" borderId="5" xfId="1" applyFont="1" applyFill="1" applyBorder="1" applyAlignment="1" applyProtection="1">
      <alignment horizontal="center"/>
    </xf>
    <xf numFmtId="9" fontId="11" fillId="5" borderId="8" xfId="0" applyNumberFormat="1" applyFont="1" applyFill="1" applyBorder="1" applyAlignment="1">
      <alignment horizontal="center"/>
    </xf>
    <xf numFmtId="0" fontId="10" fillId="4" borderId="4" xfId="0" applyFont="1" applyFill="1" applyBorder="1"/>
    <xf numFmtId="0" fontId="9" fillId="0" borderId="4" xfId="0" applyFont="1" applyBorder="1"/>
    <xf numFmtId="0" fontId="9" fillId="0" borderId="6" xfId="0" applyFont="1" applyBorder="1"/>
    <xf numFmtId="0" fontId="3" fillId="4" borderId="4" xfId="0" applyFont="1" applyFill="1" applyBorder="1"/>
    <xf numFmtId="0" fontId="3" fillId="5" borderId="5" xfId="0" applyFont="1" applyFill="1" applyBorder="1"/>
    <xf numFmtId="0" fontId="15" fillId="0" borderId="0" xfId="0" applyFont="1" applyAlignment="1">
      <alignment vertical="center"/>
    </xf>
    <xf numFmtId="0" fontId="15" fillId="0" borderId="0" xfId="0" applyFont="1"/>
    <xf numFmtId="0" fontId="5" fillId="0" borderId="0" xfId="0" applyFont="1"/>
    <xf numFmtId="0" fontId="0" fillId="0" borderId="9" xfId="0" applyBorder="1"/>
    <xf numFmtId="0" fontId="0" fillId="0" borderId="10" xfId="0" applyBorder="1"/>
    <xf numFmtId="14" fontId="0" fillId="0" borderId="10" xfId="0" applyNumberFormat="1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6" fillId="0" borderId="16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49" fontId="15" fillId="0" borderId="0" xfId="0" applyNumberFormat="1" applyFont="1"/>
    <xf numFmtId="0" fontId="15" fillId="0" borderId="0" xfId="0" applyFont="1" applyAlignment="1">
      <alignment horizontal="left"/>
    </xf>
    <xf numFmtId="0" fontId="17" fillId="0" borderId="0" xfId="0" applyFont="1"/>
    <xf numFmtId="49" fontId="15" fillId="0" borderId="0" xfId="0" applyNumberFormat="1" applyFont="1" applyAlignment="1">
      <alignment horizontal="left"/>
    </xf>
    <xf numFmtId="9" fontId="15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1" fontId="15" fillId="0" borderId="0" xfId="0" applyNumberFormat="1" applyFont="1"/>
    <xf numFmtId="1" fontId="11" fillId="5" borderId="5" xfId="0" applyNumberFormat="1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17" xfId="0" applyFont="1" applyBorder="1"/>
    <xf numFmtId="0" fontId="3" fillId="0" borderId="28" xfId="0" applyFont="1" applyBorder="1"/>
    <xf numFmtId="14" fontId="21" fillId="0" borderId="0" xfId="0" applyNumberFormat="1" applyFont="1" applyAlignment="1">
      <alignment horizontal="left"/>
    </xf>
    <xf numFmtId="0" fontId="21" fillId="0" borderId="0" xfId="0" applyFont="1"/>
    <xf numFmtId="164" fontId="21" fillId="0" borderId="0" xfId="0" applyNumberFormat="1" applyFont="1" applyAlignment="1">
      <alignment horizontal="right"/>
    </xf>
    <xf numFmtId="164" fontId="21" fillId="0" borderId="0" xfId="0" applyNumberFormat="1" applyFont="1"/>
    <xf numFmtId="0" fontId="15" fillId="0" borderId="0" xfId="0" applyFont="1" applyProtection="1">
      <protection locked="0"/>
    </xf>
    <xf numFmtId="22" fontId="15" fillId="0" borderId="0" xfId="0" applyNumberFormat="1" applyFont="1"/>
    <xf numFmtId="0" fontId="10" fillId="0" borderId="4" xfId="0" applyFont="1" applyBorder="1"/>
    <xf numFmtId="0" fontId="7" fillId="0" borderId="5" xfId="0" applyFont="1" applyBorder="1" applyAlignment="1">
      <alignment horizont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right" indent="1"/>
    </xf>
    <xf numFmtId="0" fontId="23" fillId="0" borderId="0" xfId="0" applyFont="1" applyAlignment="1">
      <alignment vertical="center"/>
    </xf>
    <xf numFmtId="14" fontId="23" fillId="0" borderId="0" xfId="0" applyNumberFormat="1" applyFont="1" applyAlignment="1">
      <alignment vertical="center"/>
    </xf>
    <xf numFmtId="22" fontId="23" fillId="0" borderId="0" xfId="0" applyNumberFormat="1" applyFont="1" applyAlignment="1">
      <alignment vertical="center"/>
    </xf>
    <xf numFmtId="0" fontId="0" fillId="10" borderId="0" xfId="0" applyFill="1"/>
    <xf numFmtId="0" fontId="0" fillId="11" borderId="0" xfId="0" applyFill="1"/>
    <xf numFmtId="0" fontId="0" fillId="12" borderId="0" xfId="0" applyFill="1"/>
    <xf numFmtId="0" fontId="10" fillId="4" borderId="4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165" fontId="12" fillId="6" borderId="2" xfId="0" applyNumberFormat="1" applyFont="1" applyFill="1" applyBorder="1" applyAlignment="1">
      <alignment horizontal="center"/>
    </xf>
    <xf numFmtId="165" fontId="12" fillId="6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0" fillId="0" borderId="0" xfId="0" applyNumberFormat="1"/>
  </cellXfs>
  <cellStyles count="3">
    <cellStyle name="Normal" xfId="0" builtinId="0"/>
    <cellStyle name="Normal 2" xfId="2" xr:uid="{00000000-0005-0000-0000-000002000000}"/>
    <cellStyle name="Pourcentage" xfId="1" builtinId="5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9A9A"/>
      <color rgb="FFCCFFD2"/>
      <color rgb="FFFBE6FF"/>
      <color rgb="FFFFD0CB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TYPE DE SORTIE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Calculs!$S$20:$S$55</c:f>
              <c:strCache>
                <c:ptCount val="36"/>
                <c:pt idx="0">
                  <c:v>ABANDON DE LA MESURE</c:v>
                </c:pt>
                <c:pt idx="1">
                  <c:v>REFUS DE LA MESURE</c:v>
                </c:pt>
                <c:pt idx="2">
                  <c:v>CANDIDATURE PSEA REFUSEE</c:v>
                </c:pt>
                <c:pt idx="3">
                  <c:v>BENEVOLAT</c:v>
                </c:pt>
                <c:pt idx="4">
                  <c:v>CDD INFÉRIEUR À 6 MOIS</c:v>
                </c:pt>
                <c:pt idx="5">
                  <c:v>CDD SUPÉRIEUR OU ÉGAL À 6 MOIS</c:v>
                </c:pt>
                <c:pt idx="6">
                  <c:v>CDDI SIAE</c:v>
                </c:pt>
                <c:pt idx="7">
                  <c:v>CDI TEMPS PARTIEL</c:v>
                </c:pt>
                <c:pt idx="8">
                  <c:v>CDI TEMPS PLEIN</c:v>
                </c:pt>
                <c:pt idx="9">
                  <c:v>CREATION MICROENTREPRISE</c:v>
                </c:pt>
                <c:pt idx="10">
                  <c:v>DECES</c:v>
                </c:pt>
                <c:pt idx="11">
                  <c:v>DEMENAGEMENT AUTRE DEPARTEMENT</c:v>
                </c:pt>
                <c:pt idx="12">
                  <c:v>DOSSIER MDPH DEPOSE POUR EQUIPE TECHNIQUE MDPH SPR74</c:v>
                </c:pt>
                <c:pt idx="13">
                  <c:v>DOSSIER MDPH EN COURS CONSTITUTION POUR EQUIPE TECHNIQUE MDPH SPR74</c:v>
                </c:pt>
                <c:pt idx="14">
                  <c:v>EMPLOI INTERIM</c:v>
                </c:pt>
                <c:pt idx="15">
                  <c:v>ENTREE ESAT</c:v>
                </c:pt>
                <c:pt idx="16">
                  <c:v>FORMATION NON QUALIFIANTE</c:v>
                </c:pt>
                <c:pt idx="17">
                  <c:v>FORMATION QUALIFIANTE</c:v>
                </c:pt>
                <c:pt idx="18">
                  <c:v>HOSPITALISATION MOYENNE OU LONGUE DUREE</c:v>
                </c:pt>
                <c:pt idx="19">
                  <c:v>MESURE INADAPTEE</c:v>
                </c:pt>
                <c:pt idx="20">
                  <c:v>OBTENTION AAH RSDAE</c:v>
                </c:pt>
                <c:pt idx="21">
                  <c:v>OBTENTION AAH RSDAE 3</c:v>
                </c:pt>
                <c:pt idx="22">
                  <c:v>OBTENTION AAH RSDAE 5</c:v>
                </c:pt>
                <c:pt idx="23">
                  <c:v>OBTENTION PENSION INVAL 2</c:v>
                </c:pt>
                <c:pt idx="24">
                  <c:v>ORIENTATION ACCOMPAGNEMENT TNS - AIDER</c:v>
                </c:pt>
                <c:pt idx="25">
                  <c:v>ORIENTATION EA</c:v>
                </c:pt>
                <c:pt idx="26">
                  <c:v>ORIENTATION PARCOURS PERSEVERANCE</c:v>
                </c:pt>
                <c:pt idx="27">
                  <c:v>ORIENTATION SIAE</c:v>
                </c:pt>
                <c:pt idx="28">
                  <c:v>ORIENTATION WEAVERS</c:v>
                </c:pt>
                <c:pt idx="29">
                  <c:v>PENSION INVALIDITE CPAM</c:v>
                </c:pt>
                <c:pt idx="30">
                  <c:v>PRISE DE DROITS A LA RETRAITE</c:v>
                </c:pt>
                <c:pt idx="31">
                  <c:v>PROPOSITION DE SUIVI DANS PARCOURS COORDONNEES</c:v>
                </c:pt>
                <c:pt idx="32">
                  <c:v>RENONCEMENT AU RSA</c:v>
                </c:pt>
                <c:pt idx="33">
                  <c:v>SUIVI PARTENAIRE SPECIALISE</c:v>
                </c:pt>
                <c:pt idx="34">
                  <c:v>SUIVI REPRIS PAR OPERATEUR HANDICAP URAPEDA  </c:v>
                </c:pt>
                <c:pt idx="35">
                  <c:v>VIDE</c:v>
                </c:pt>
              </c:strCache>
            </c:strRef>
          </c:cat>
          <c:val>
            <c:numRef>
              <c:f>Calculs!$T$20:$T$55</c:f>
              <c:numCache>
                <c:formatCode>General</c:formatCode>
                <c:ptCount val="36"/>
                <c:pt idx="0">
                  <c:v>23</c:v>
                </c:pt>
                <c:pt idx="1">
                  <c:v>0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9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5</c:v>
                </c:pt>
                <c:pt idx="12">
                  <c:v>81</c:v>
                </c:pt>
                <c:pt idx="13">
                  <c:v>38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22</c:v>
                </c:pt>
                <c:pt idx="20">
                  <c:v>1</c:v>
                </c:pt>
                <c:pt idx="21">
                  <c:v>38</c:v>
                </c:pt>
                <c:pt idx="22">
                  <c:v>19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1</c:v>
                </c:pt>
                <c:pt idx="31">
                  <c:v>24</c:v>
                </c:pt>
                <c:pt idx="32">
                  <c:v>1</c:v>
                </c:pt>
                <c:pt idx="33">
                  <c:v>12</c:v>
                </c:pt>
                <c:pt idx="34">
                  <c:v>0</c:v>
                </c:pt>
                <c:pt idx="3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C-5544-84DD-545BDA9434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24924160"/>
        <c:axId val="324925696"/>
      </c:barChart>
      <c:catAx>
        <c:axId val="324924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925696"/>
        <c:crosses val="autoZero"/>
        <c:auto val="1"/>
        <c:lblAlgn val="ctr"/>
        <c:lblOffset val="100"/>
        <c:noMultiLvlLbl val="0"/>
      </c:catAx>
      <c:valAx>
        <c:axId val="32492569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92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TYPE DE PARCOURS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Calculs!$S$3:$S$13</c:f>
              <c:strCache>
                <c:ptCount val="11"/>
                <c:pt idx="0">
                  <c:v>AAH</c:v>
                </c:pt>
                <c:pt idx="1">
                  <c:v>AAH AUTRE</c:v>
                </c:pt>
                <c:pt idx="2">
                  <c:v>EMPLOI AIDE TYPE EA</c:v>
                </c:pt>
                <c:pt idx="3">
                  <c:v>EMPLOI TPS PARTIEL</c:v>
                </c:pt>
                <c:pt idx="4">
                  <c:v>EMPLOI TPS PLEIN</c:v>
                </c:pt>
                <c:pt idx="5">
                  <c:v>FORMATION</c:v>
                </c:pt>
                <c:pt idx="6">
                  <c:v>CREATION ENTREPRISE</c:v>
                </c:pt>
                <c:pt idx="7">
                  <c:v>BENEVOLAT</c:v>
                </c:pt>
                <c:pt idx="8">
                  <c:v>RETRAITE</c:v>
                </c:pt>
                <c:pt idx="9">
                  <c:v>PENSION INVALIDITE CPAM</c:v>
                </c:pt>
                <c:pt idx="10">
                  <c:v>A PRECISER LORS DU RDV INDIV CIP</c:v>
                </c:pt>
              </c:strCache>
            </c:strRef>
          </c:cat>
          <c:val>
            <c:numRef>
              <c:f>Calculs!$T$3:$T$13</c:f>
              <c:numCache>
                <c:formatCode>General</c:formatCode>
                <c:ptCount val="11"/>
                <c:pt idx="0">
                  <c:v>83</c:v>
                </c:pt>
                <c:pt idx="1">
                  <c:v>193</c:v>
                </c:pt>
                <c:pt idx="2">
                  <c:v>27</c:v>
                </c:pt>
                <c:pt idx="3">
                  <c:v>40</c:v>
                </c:pt>
                <c:pt idx="4">
                  <c:v>10</c:v>
                </c:pt>
                <c:pt idx="5">
                  <c:v>12</c:v>
                </c:pt>
                <c:pt idx="6">
                  <c:v>8</c:v>
                </c:pt>
                <c:pt idx="7">
                  <c:v>4</c:v>
                </c:pt>
                <c:pt idx="8">
                  <c:v>5</c:v>
                </c:pt>
                <c:pt idx="9">
                  <c:v>0</c:v>
                </c:pt>
                <c:pt idx="1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C-5544-84DD-545BDA9434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24924160"/>
        <c:axId val="324925696"/>
      </c:barChart>
      <c:catAx>
        <c:axId val="3249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925696"/>
        <c:crosses val="autoZero"/>
        <c:auto val="1"/>
        <c:lblAlgn val="ctr"/>
        <c:lblOffset val="100"/>
        <c:noMultiLvlLbl val="0"/>
      </c:catAx>
      <c:valAx>
        <c:axId val="3249256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92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REPARTITION PAR RESEAU PRESCRIPTEUR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Calculs!$H$10:$H$17</c:f>
              <c:strCache>
                <c:ptCount val="8"/>
                <c:pt idx="0">
                  <c:v>CD</c:v>
                </c:pt>
                <c:pt idx="1">
                  <c:v>IF</c:v>
                </c:pt>
                <c:pt idx="2">
                  <c:v>ML</c:v>
                </c:pt>
                <c:pt idx="3">
                  <c:v>CI</c:v>
                </c:pt>
                <c:pt idx="4">
                  <c:v>AI</c:v>
                </c:pt>
                <c:pt idx="5">
                  <c:v>SPR</c:v>
                </c:pt>
                <c:pt idx="6">
                  <c:v>TR</c:v>
                </c:pt>
                <c:pt idx="7">
                  <c:v>SA</c:v>
                </c:pt>
              </c:strCache>
            </c:strRef>
          </c:cat>
          <c:val>
            <c:numRef>
              <c:f>Calculs!$H$2:$H$9</c:f>
              <c:numCache>
                <c:formatCode>General</c:formatCode>
                <c:ptCount val="8"/>
                <c:pt idx="0">
                  <c:v>476</c:v>
                </c:pt>
                <c:pt idx="1">
                  <c:v>2</c:v>
                </c:pt>
                <c:pt idx="2">
                  <c:v>20</c:v>
                </c:pt>
                <c:pt idx="3">
                  <c:v>66</c:v>
                </c:pt>
                <c:pt idx="4">
                  <c:v>11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C-5544-84DD-545BDA9434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24924160"/>
        <c:axId val="324925696"/>
      </c:barChart>
      <c:catAx>
        <c:axId val="3249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925696"/>
        <c:crosses val="autoZero"/>
        <c:auto val="1"/>
        <c:lblAlgn val="ctr"/>
        <c:lblOffset val="100"/>
        <c:noMultiLvlLbl val="0"/>
      </c:catAx>
      <c:valAx>
        <c:axId val="3249256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92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REPARTITION PAR TRANCHES D'AGES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Calculs!$B$6:$B$9</c:f>
              <c:strCache>
                <c:ptCount val="4"/>
                <c:pt idx="0">
                  <c:v>-30 ans</c:v>
                </c:pt>
                <c:pt idx="1">
                  <c:v>30-39 ans</c:v>
                </c:pt>
                <c:pt idx="2">
                  <c:v>40-49 ans</c:v>
                </c:pt>
                <c:pt idx="3">
                  <c:v>50+ ans</c:v>
                </c:pt>
              </c:strCache>
            </c:strRef>
          </c:cat>
          <c:val>
            <c:numRef>
              <c:f>Calculs!$B$2:$B$5</c:f>
              <c:numCache>
                <c:formatCode>General</c:formatCode>
                <c:ptCount val="4"/>
                <c:pt idx="0">
                  <c:v>44</c:v>
                </c:pt>
                <c:pt idx="1">
                  <c:v>109</c:v>
                </c:pt>
                <c:pt idx="2">
                  <c:v>159</c:v>
                </c:pt>
                <c:pt idx="3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C-5544-84DD-545BDA9434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24924160"/>
        <c:axId val="324925696"/>
      </c:barChart>
      <c:catAx>
        <c:axId val="3249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925696"/>
        <c:crosses val="autoZero"/>
        <c:auto val="1"/>
        <c:lblAlgn val="ctr"/>
        <c:lblOffset val="100"/>
        <c:noMultiLvlLbl val="0"/>
      </c:catAx>
      <c:valAx>
        <c:axId val="3249256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92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REPARTITION PAR ANCIENNETE AU RSA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Calculs!$F$7:$F$11</c:f>
              <c:strCache>
                <c:ptCount val="5"/>
                <c:pt idx="0">
                  <c:v>-2 ans</c:v>
                </c:pt>
                <c:pt idx="1">
                  <c:v>2-4 ans</c:v>
                </c:pt>
                <c:pt idx="2">
                  <c:v>5-8 ans</c:v>
                </c:pt>
                <c:pt idx="3">
                  <c:v>9-10 ans</c:v>
                </c:pt>
                <c:pt idx="4">
                  <c:v>+10 ans</c:v>
                </c:pt>
              </c:strCache>
            </c:strRef>
          </c:cat>
          <c:val>
            <c:numRef>
              <c:f>Calculs!$F$2:$F$6</c:f>
              <c:numCache>
                <c:formatCode>General</c:formatCode>
                <c:ptCount val="5"/>
                <c:pt idx="0">
                  <c:v>1161</c:v>
                </c:pt>
                <c:pt idx="1">
                  <c:v>199</c:v>
                </c:pt>
                <c:pt idx="2">
                  <c:v>144</c:v>
                </c:pt>
                <c:pt idx="3">
                  <c:v>41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C-5544-84DD-545BDA9434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24924160"/>
        <c:axId val="324925696"/>
      </c:barChart>
      <c:catAx>
        <c:axId val="3249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925696"/>
        <c:crosses val="autoZero"/>
        <c:auto val="1"/>
        <c:lblAlgn val="ctr"/>
        <c:lblOffset val="100"/>
        <c:noMultiLvlLbl val="0"/>
      </c:catAx>
      <c:valAx>
        <c:axId val="3249256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92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REPARTITION PAR GENRE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Calculs!$G$4:$G$5</c:f>
              <c:strCache>
                <c:ptCount val="2"/>
                <c:pt idx="0">
                  <c:v>Homme</c:v>
                </c:pt>
                <c:pt idx="1">
                  <c:v>Femme</c:v>
                </c:pt>
              </c:strCache>
            </c:strRef>
          </c:cat>
          <c:val>
            <c:numRef>
              <c:f>Calculs!$G$2:$G$3</c:f>
              <c:numCache>
                <c:formatCode>General</c:formatCode>
                <c:ptCount val="2"/>
                <c:pt idx="0">
                  <c:v>286</c:v>
                </c:pt>
                <c:pt idx="1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C-5544-84DD-545BDA9434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24924160"/>
        <c:axId val="324925696"/>
      </c:barChart>
      <c:catAx>
        <c:axId val="3249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925696"/>
        <c:crosses val="autoZero"/>
        <c:auto val="1"/>
        <c:lblAlgn val="ctr"/>
        <c:lblOffset val="100"/>
        <c:noMultiLvlLbl val="0"/>
      </c:catAx>
      <c:valAx>
        <c:axId val="3249256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92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RESEAU/TERRITOIRE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Calculs!$J$2:$J$24</c:f>
              <c:strCache>
                <c:ptCount val="23"/>
                <c:pt idx="0">
                  <c:v>CD-BA</c:v>
                </c:pt>
                <c:pt idx="1">
                  <c:v>CD-GE</c:v>
                </c:pt>
                <c:pt idx="2">
                  <c:v>CD-CH</c:v>
                </c:pt>
                <c:pt idx="3">
                  <c:v>CD-VA</c:v>
                </c:pt>
                <c:pt idx="4">
                  <c:v>ML-BA</c:v>
                </c:pt>
                <c:pt idx="5">
                  <c:v>ML-GE</c:v>
                </c:pt>
                <c:pt idx="6">
                  <c:v>ML-CH</c:v>
                </c:pt>
                <c:pt idx="7">
                  <c:v>ML-VA</c:v>
                </c:pt>
                <c:pt idx="8">
                  <c:v>PE-BA</c:v>
                </c:pt>
                <c:pt idx="9">
                  <c:v>PE-GE</c:v>
                </c:pt>
                <c:pt idx="10">
                  <c:v>PE-CH</c:v>
                </c:pt>
                <c:pt idx="11">
                  <c:v>PE-VA</c:v>
                </c:pt>
                <c:pt idx="12">
                  <c:v>CI-BA</c:v>
                </c:pt>
                <c:pt idx="13">
                  <c:v>CI-GE</c:v>
                </c:pt>
                <c:pt idx="14">
                  <c:v>CI-VA</c:v>
                </c:pt>
                <c:pt idx="15">
                  <c:v>AI-BA</c:v>
                </c:pt>
                <c:pt idx="16">
                  <c:v>AI-GE</c:v>
                </c:pt>
                <c:pt idx="17">
                  <c:v>AI-CH</c:v>
                </c:pt>
                <c:pt idx="18">
                  <c:v>AI-VA</c:v>
                </c:pt>
                <c:pt idx="19">
                  <c:v>SR-BA</c:v>
                </c:pt>
                <c:pt idx="20">
                  <c:v>SR-GE</c:v>
                </c:pt>
                <c:pt idx="21">
                  <c:v>SR-CH</c:v>
                </c:pt>
                <c:pt idx="22">
                  <c:v>SR-VA</c:v>
                </c:pt>
              </c:strCache>
            </c:strRef>
          </c:cat>
          <c:val>
            <c:numRef>
              <c:f>Calculs!$K$2:$K$24</c:f>
              <c:numCache>
                <c:formatCode>General</c:formatCode>
                <c:ptCount val="23"/>
                <c:pt idx="0">
                  <c:v>159</c:v>
                </c:pt>
                <c:pt idx="1">
                  <c:v>169</c:v>
                </c:pt>
                <c:pt idx="2">
                  <c:v>56</c:v>
                </c:pt>
                <c:pt idx="3">
                  <c:v>92</c:v>
                </c:pt>
                <c:pt idx="4">
                  <c:v>2</c:v>
                </c:pt>
                <c:pt idx="5">
                  <c:v>11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29</c:v>
                </c:pt>
                <c:pt idx="13">
                  <c:v>27</c:v>
                </c:pt>
                <c:pt idx="14">
                  <c:v>10</c:v>
                </c:pt>
                <c:pt idx="15">
                  <c:v>0</c:v>
                </c:pt>
                <c:pt idx="16">
                  <c:v>11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C-5544-84DD-545BDA9434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24924160"/>
        <c:axId val="324925696"/>
      </c:barChart>
      <c:catAx>
        <c:axId val="3249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925696"/>
        <c:crosses val="autoZero"/>
        <c:auto val="1"/>
        <c:lblAlgn val="ctr"/>
        <c:lblOffset val="100"/>
        <c:noMultiLvlLbl val="0"/>
      </c:catAx>
      <c:valAx>
        <c:axId val="3249256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92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REPARTITION TERRITORIALE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Calculs!$L$2:$L$7</c:f>
              <c:strCache>
                <c:ptCount val="6"/>
                <c:pt idx="0">
                  <c:v>BA</c:v>
                </c:pt>
                <c:pt idx="1">
                  <c:v>GE</c:v>
                </c:pt>
                <c:pt idx="2">
                  <c:v>CH</c:v>
                </c:pt>
                <c:pt idx="3">
                  <c:v>VA</c:v>
                </c:pt>
                <c:pt idx="4">
                  <c:v>TR</c:v>
                </c:pt>
                <c:pt idx="5">
                  <c:v>SA</c:v>
                </c:pt>
              </c:strCache>
            </c:strRef>
          </c:cat>
          <c:val>
            <c:numRef>
              <c:f>Calculs!$M$2:$M$7</c:f>
              <c:numCache>
                <c:formatCode>General</c:formatCode>
                <c:ptCount val="6"/>
                <c:pt idx="0">
                  <c:v>192</c:v>
                </c:pt>
                <c:pt idx="1">
                  <c:v>220</c:v>
                </c:pt>
                <c:pt idx="2">
                  <c:v>66</c:v>
                </c:pt>
                <c:pt idx="3">
                  <c:v>103</c:v>
                </c:pt>
                <c:pt idx="4">
                  <c:v>4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BC-5544-84DD-545BDA9434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24924160"/>
        <c:axId val="324925696"/>
      </c:barChart>
      <c:catAx>
        <c:axId val="3249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925696"/>
        <c:crosses val="autoZero"/>
        <c:auto val="1"/>
        <c:lblAlgn val="ctr"/>
        <c:lblOffset val="100"/>
        <c:noMultiLvlLbl val="0"/>
      </c:catAx>
      <c:valAx>
        <c:axId val="3249256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92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/>
              <a:t>PARCOURS PAR TERRITOIRE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Calculs!$U$2</c:f>
              <c:strCache>
                <c:ptCount val="1"/>
                <c:pt idx="0">
                  <c:v>Bassin Annécien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CC7-0B4F-8BF9-ADDC30C9C09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CC7-0B4F-8BF9-ADDC30C9C094}"/>
              </c:ext>
            </c:extLst>
          </c:dPt>
          <c:cat>
            <c:strRef>
              <c:f>Calculs!$S$3:$S$11</c:f>
              <c:strCache>
                <c:ptCount val="9"/>
                <c:pt idx="0">
                  <c:v>AAH</c:v>
                </c:pt>
                <c:pt idx="1">
                  <c:v>AAH AUTRE</c:v>
                </c:pt>
                <c:pt idx="2">
                  <c:v>EMPLOI AIDE TYPE EA</c:v>
                </c:pt>
                <c:pt idx="3">
                  <c:v>EMPLOI TPS PARTIEL</c:v>
                </c:pt>
                <c:pt idx="4">
                  <c:v>EMPLOI TPS PLEIN</c:v>
                </c:pt>
                <c:pt idx="5">
                  <c:v>FORMATION</c:v>
                </c:pt>
                <c:pt idx="6">
                  <c:v>CREATION ENTREPRISE</c:v>
                </c:pt>
                <c:pt idx="7">
                  <c:v>BENEVOLAT</c:v>
                </c:pt>
                <c:pt idx="8">
                  <c:v>RETRAITE</c:v>
                </c:pt>
              </c:strCache>
            </c:strRef>
          </c:cat>
          <c:val>
            <c:numRef>
              <c:f>Calculs!$U$3:$U$11</c:f>
              <c:numCache>
                <c:formatCode>General</c:formatCode>
                <c:ptCount val="9"/>
                <c:pt idx="0">
                  <c:v>14</c:v>
                </c:pt>
                <c:pt idx="1">
                  <c:v>78</c:v>
                </c:pt>
                <c:pt idx="2">
                  <c:v>15</c:v>
                </c:pt>
                <c:pt idx="3">
                  <c:v>27</c:v>
                </c:pt>
                <c:pt idx="4">
                  <c:v>5</c:v>
                </c:pt>
                <c:pt idx="5">
                  <c:v>1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F-6043-9BC5-0159FB7C2F4A}"/>
            </c:ext>
          </c:extLst>
        </c:ser>
        <c:ser>
          <c:idx val="2"/>
          <c:order val="1"/>
          <c:tx>
            <c:strRef>
              <c:f>Calculs!$V$2</c:f>
              <c:strCache>
                <c:ptCount val="1"/>
                <c:pt idx="0">
                  <c:v>Genevois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Calculs!$S$3:$S$11</c:f>
              <c:strCache>
                <c:ptCount val="9"/>
                <c:pt idx="0">
                  <c:v>AAH</c:v>
                </c:pt>
                <c:pt idx="1">
                  <c:v>AAH AUTRE</c:v>
                </c:pt>
                <c:pt idx="2">
                  <c:v>EMPLOI AIDE TYPE EA</c:v>
                </c:pt>
                <c:pt idx="3">
                  <c:v>EMPLOI TPS PARTIEL</c:v>
                </c:pt>
                <c:pt idx="4">
                  <c:v>EMPLOI TPS PLEIN</c:v>
                </c:pt>
                <c:pt idx="5">
                  <c:v>FORMATION</c:v>
                </c:pt>
                <c:pt idx="6">
                  <c:v>CREATION ENTREPRISE</c:v>
                </c:pt>
                <c:pt idx="7">
                  <c:v>BENEVOLAT</c:v>
                </c:pt>
                <c:pt idx="8">
                  <c:v>RETRAITE</c:v>
                </c:pt>
              </c:strCache>
            </c:strRef>
          </c:cat>
          <c:val>
            <c:numRef>
              <c:f>Calculs!$V$3:$V$11</c:f>
              <c:numCache>
                <c:formatCode>General</c:formatCode>
                <c:ptCount val="9"/>
                <c:pt idx="0">
                  <c:v>38</c:v>
                </c:pt>
                <c:pt idx="1">
                  <c:v>42</c:v>
                </c:pt>
                <c:pt idx="2">
                  <c:v>2</c:v>
                </c:pt>
                <c:pt idx="3">
                  <c:v>12</c:v>
                </c:pt>
                <c:pt idx="4">
                  <c:v>4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F8-CF41-AB02-7CD0F7C73D94}"/>
            </c:ext>
          </c:extLst>
        </c:ser>
        <c:ser>
          <c:idx val="1"/>
          <c:order val="2"/>
          <c:tx>
            <c:strRef>
              <c:f>Calculs!$W$2</c:f>
              <c:strCache>
                <c:ptCount val="1"/>
                <c:pt idx="0">
                  <c:v>Chablais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Calculs!$S$3:$S$11</c:f>
              <c:strCache>
                <c:ptCount val="9"/>
                <c:pt idx="0">
                  <c:v>AAH</c:v>
                </c:pt>
                <c:pt idx="1">
                  <c:v>AAH AUTRE</c:v>
                </c:pt>
                <c:pt idx="2">
                  <c:v>EMPLOI AIDE TYPE EA</c:v>
                </c:pt>
                <c:pt idx="3">
                  <c:v>EMPLOI TPS PARTIEL</c:v>
                </c:pt>
                <c:pt idx="4">
                  <c:v>EMPLOI TPS PLEIN</c:v>
                </c:pt>
                <c:pt idx="5">
                  <c:v>FORMATION</c:v>
                </c:pt>
                <c:pt idx="6">
                  <c:v>CREATION ENTREPRISE</c:v>
                </c:pt>
                <c:pt idx="7">
                  <c:v>BENEVOLAT</c:v>
                </c:pt>
                <c:pt idx="8">
                  <c:v>RETRAITE</c:v>
                </c:pt>
              </c:strCache>
            </c:strRef>
          </c:cat>
          <c:val>
            <c:numRef>
              <c:f>Calculs!$W$3:$W$11</c:f>
              <c:numCache>
                <c:formatCode>General</c:formatCode>
                <c:ptCount val="9"/>
                <c:pt idx="0">
                  <c:v>8</c:v>
                </c:pt>
                <c:pt idx="1">
                  <c:v>31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F8-CF41-AB02-7CD0F7C73D94}"/>
            </c:ext>
          </c:extLst>
        </c:ser>
        <c:ser>
          <c:idx val="3"/>
          <c:order val="3"/>
          <c:tx>
            <c:strRef>
              <c:f>Calculs!$X$2</c:f>
              <c:strCache>
                <c:ptCount val="1"/>
                <c:pt idx="0">
                  <c:v>Vallée de L'Arve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Calculs!$S$3:$S$11</c:f>
              <c:strCache>
                <c:ptCount val="9"/>
                <c:pt idx="0">
                  <c:v>AAH</c:v>
                </c:pt>
                <c:pt idx="1">
                  <c:v>AAH AUTRE</c:v>
                </c:pt>
                <c:pt idx="2">
                  <c:v>EMPLOI AIDE TYPE EA</c:v>
                </c:pt>
                <c:pt idx="3">
                  <c:v>EMPLOI TPS PARTIEL</c:v>
                </c:pt>
                <c:pt idx="4">
                  <c:v>EMPLOI TPS PLEIN</c:v>
                </c:pt>
                <c:pt idx="5">
                  <c:v>FORMATION</c:v>
                </c:pt>
                <c:pt idx="6">
                  <c:v>CREATION ENTREPRISE</c:v>
                </c:pt>
                <c:pt idx="7">
                  <c:v>BENEVOLAT</c:v>
                </c:pt>
                <c:pt idx="8">
                  <c:v>RETRAITE</c:v>
                </c:pt>
              </c:strCache>
            </c:strRef>
          </c:cat>
          <c:val>
            <c:numRef>
              <c:f>Calculs!$X$3:$X$11</c:f>
              <c:numCache>
                <c:formatCode>General</c:formatCode>
                <c:ptCount val="9"/>
                <c:pt idx="0">
                  <c:v>23</c:v>
                </c:pt>
                <c:pt idx="1">
                  <c:v>42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F8-CF41-AB02-7CD0F7C73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4880256"/>
        <c:axId val="324881792"/>
      </c:barChart>
      <c:catAx>
        <c:axId val="324880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881792"/>
        <c:crosses val="autoZero"/>
        <c:auto val="1"/>
        <c:lblAlgn val="ctr"/>
        <c:lblOffset val="100"/>
        <c:noMultiLvlLbl val="0"/>
      </c:catAx>
      <c:valAx>
        <c:axId val="32488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88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[PSEA Stats.xlsx]Calculs!Tableau croisé dynamique2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AFFLUENCE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fr-F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Calculs!$Z$3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Calculs!$Y$4:$Y$16</c:f>
              <c:strCache>
                <c:ptCount val="12"/>
                <c:pt idx="0">
                  <c:v>janv</c:v>
                </c:pt>
                <c:pt idx="1">
                  <c:v>févr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août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déc</c:v>
                </c:pt>
              </c:strCache>
            </c:strRef>
          </c:cat>
          <c:val>
            <c:numRef>
              <c:f>Calculs!$Z$4:$Z$16</c:f>
              <c:numCache>
                <c:formatCode>General</c:formatCode>
                <c:ptCount val="12"/>
                <c:pt idx="0">
                  <c:v>75</c:v>
                </c:pt>
                <c:pt idx="1">
                  <c:v>49</c:v>
                </c:pt>
                <c:pt idx="2">
                  <c:v>49</c:v>
                </c:pt>
                <c:pt idx="3">
                  <c:v>50</c:v>
                </c:pt>
                <c:pt idx="4">
                  <c:v>41</c:v>
                </c:pt>
                <c:pt idx="5">
                  <c:v>35</c:v>
                </c:pt>
                <c:pt idx="6">
                  <c:v>43</c:v>
                </c:pt>
                <c:pt idx="7">
                  <c:v>24</c:v>
                </c:pt>
                <c:pt idx="8">
                  <c:v>43</c:v>
                </c:pt>
                <c:pt idx="9">
                  <c:v>50</c:v>
                </c:pt>
                <c:pt idx="10">
                  <c:v>82</c:v>
                </c:pt>
                <c:pt idx="1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E-894D-BFF4-D8612AECFF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24924160"/>
        <c:axId val="324925696"/>
      </c:barChart>
      <c:catAx>
        <c:axId val="3249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925696"/>
        <c:crosses val="autoZero"/>
        <c:auto val="1"/>
        <c:lblAlgn val="ctr"/>
        <c:lblOffset val="100"/>
        <c:noMultiLvlLbl val="0"/>
      </c:catAx>
      <c:valAx>
        <c:axId val="3249256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492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85</xdr:row>
      <xdr:rowOff>101600</xdr:rowOff>
    </xdr:from>
    <xdr:to>
      <xdr:col>12</xdr:col>
      <xdr:colOff>12700</xdr:colOff>
      <xdr:row>123</xdr:row>
      <xdr:rowOff>127000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701615</xdr:colOff>
      <xdr:row>1</xdr:row>
      <xdr:rowOff>30498</xdr:rowOff>
    </xdr:from>
    <xdr:to>
      <xdr:col>5</xdr:col>
      <xdr:colOff>417982</xdr:colOff>
      <xdr:row>4</xdr:row>
      <xdr:rowOff>174552</xdr:rowOff>
    </xdr:to>
    <xdr:pic>
      <xdr:nvPicPr>
        <xdr:cNvPr id="5" name="Image 4" descr="NEW LOGO SPR V2 complet 25%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32888" y="238316"/>
          <a:ext cx="3041458" cy="76750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812800</xdr:colOff>
      <xdr:row>54</xdr:row>
      <xdr:rowOff>80434</xdr:rowOff>
    </xdr:from>
    <xdr:to>
      <xdr:col>6</xdr:col>
      <xdr:colOff>177800</xdr:colOff>
      <xdr:row>67</xdr:row>
      <xdr:rowOff>138834</xdr:rowOff>
    </xdr:to>
    <xdr:graphicFrame macro="">
      <xdr:nvGraphicFramePr>
        <xdr:cNvPr id="9" name="Graphiqu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644525</xdr:colOff>
      <xdr:row>26</xdr:row>
      <xdr:rowOff>190500</xdr:rowOff>
    </xdr:from>
    <xdr:to>
      <xdr:col>12</xdr:col>
      <xdr:colOff>0</xdr:colOff>
      <xdr:row>40</xdr:row>
      <xdr:rowOff>45700</xdr:rowOff>
    </xdr:to>
    <xdr:graphicFrame macro="">
      <xdr:nvGraphicFramePr>
        <xdr:cNvPr id="10" name="Graphiqu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812800</xdr:colOff>
      <xdr:row>40</xdr:row>
      <xdr:rowOff>135467</xdr:rowOff>
    </xdr:from>
    <xdr:to>
      <xdr:col>6</xdr:col>
      <xdr:colOff>177800</xdr:colOff>
      <xdr:row>53</xdr:row>
      <xdr:rowOff>193867</xdr:rowOff>
    </xdr:to>
    <xdr:graphicFrame macro="">
      <xdr:nvGraphicFramePr>
        <xdr:cNvPr id="11" name="Graphiqu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812799</xdr:colOff>
      <xdr:row>26</xdr:row>
      <xdr:rowOff>190500</xdr:rowOff>
    </xdr:from>
    <xdr:to>
      <xdr:col>6</xdr:col>
      <xdr:colOff>179799</xdr:colOff>
      <xdr:row>40</xdr:row>
      <xdr:rowOff>45700</xdr:rowOff>
    </xdr:to>
    <xdr:graphicFrame macro="">
      <xdr:nvGraphicFramePr>
        <xdr:cNvPr id="12" name="Graphiqu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644524</xdr:colOff>
      <xdr:row>54</xdr:row>
      <xdr:rowOff>90373</xdr:rowOff>
    </xdr:from>
    <xdr:to>
      <xdr:col>12</xdr:col>
      <xdr:colOff>25400</xdr:colOff>
      <xdr:row>67</xdr:row>
      <xdr:rowOff>155991</xdr:rowOff>
    </xdr:to>
    <xdr:graphicFrame macro="">
      <xdr:nvGraphicFramePr>
        <xdr:cNvPr id="13" name="Graphique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647700</xdr:colOff>
      <xdr:row>40</xdr:row>
      <xdr:rowOff>139473</xdr:rowOff>
    </xdr:from>
    <xdr:to>
      <xdr:col>12</xdr:col>
      <xdr:colOff>14700</xdr:colOff>
      <xdr:row>54</xdr:row>
      <xdr:rowOff>1891</xdr:rowOff>
    </xdr:to>
    <xdr:graphicFrame macro="">
      <xdr:nvGraphicFramePr>
        <xdr:cNvPr id="8" name="Graphiqu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647700</xdr:colOff>
      <xdr:row>68</xdr:row>
      <xdr:rowOff>41274</xdr:rowOff>
    </xdr:from>
    <xdr:to>
      <xdr:col>12</xdr:col>
      <xdr:colOff>14700</xdr:colOff>
      <xdr:row>85</xdr:row>
      <xdr:rowOff>6874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789214</xdr:colOff>
      <xdr:row>124</xdr:row>
      <xdr:rowOff>12700</xdr:rowOff>
    </xdr:from>
    <xdr:to>
      <xdr:col>12</xdr:col>
      <xdr:colOff>11544</xdr:colOff>
      <xdr:row>140</xdr:row>
      <xdr:rowOff>181500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800100</xdr:colOff>
      <xdr:row>68</xdr:row>
      <xdr:rowOff>25400</xdr:rowOff>
    </xdr:from>
    <xdr:to>
      <xdr:col>6</xdr:col>
      <xdr:colOff>177800</xdr:colOff>
      <xdr:row>85</xdr:row>
      <xdr:rowOff>12700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50800</xdr:colOff>
          <xdr:row>5</xdr:row>
          <xdr:rowOff>38100</xdr:rowOff>
        </xdr:from>
        <xdr:to>
          <xdr:col>6</xdr:col>
          <xdr:colOff>762000</xdr:colOff>
          <xdr:row>5</xdr:row>
          <xdr:rowOff>177800</xdr:rowOff>
        </xdr:to>
        <xdr:sp macro="" textlink="">
          <xdr:nvSpPr>
            <xdr:cNvPr id="5133" name="Button 13" descr="OK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4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2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OK</a:t>
              </a:r>
            </a:p>
          </xdr:txBody>
        </xdr:sp>
        <xdr:clientData fPrintsWithSheet="0"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anuel CHAPPAZ" refreshedDate="45947.705959837964" createdVersion="8" refreshedVersion="8" minRefreshableVersion="3" recordCount="579" xr:uid="{3A04F213-4BB5-0846-BCC2-02863B19343B}">
  <cacheSource type="worksheet">
    <worksheetSource ref="J1:L1048576" sheet="Data"/>
  </cacheSource>
  <cacheFields count="3">
    <cacheField name="prenom_presc" numFmtId="0">
      <sharedItems containsBlank="1"/>
    </cacheField>
    <cacheField name="nom_presc" numFmtId="0">
      <sharedItems containsBlank="1" count="308">
        <s v="LOPESMARQUES"/>
        <s v="DEGUILLY"/>
        <s v="TICOUT"/>
        <s v="BENBACHA"/>
        <s v="SEVESTRE"/>
        <s v="GIRARD BERTHET"/>
        <s v="ARGAUD"/>
        <s v="MOCELLIN"/>
        <s v="CHANGEA"/>
        <s v="FOURNIERLANGLAIS"/>
        <s v="RUFFIER"/>
        <s v="RAGEAU"/>
        <s v="RIONDY"/>
        <s v="FALLET"/>
        <s v="ROMAN"/>
        <s v="LEFEBVRE"/>
        <s v="SPRINGER"/>
        <s v="MEGHEZZI"/>
        <s v="VAILLANT"/>
        <s v="ANDRIAMBELO"/>
        <s v="DHERTOGE"/>
        <s v="MARECHAL"/>
        <s v="POUGET"/>
        <s v="HANI"/>
        <s v="D'HERTOGE"/>
        <s v="MUGNIER"/>
        <s v="GARNIER"/>
        <s v="GRETER"/>
        <s v="THIERY"/>
        <s v="FRANCK"/>
        <s v="DOUCHE"/>
        <s v="PERISSE"/>
        <s v="MITTON"/>
        <s v="HUND"/>
        <s v="DUTHEIL"/>
        <s v="FINOT"/>
        <s v="VASSY"/>
        <s v="VIOLET"/>
        <s v="BAS"/>
        <s v="TUPIN"/>
        <s v="JAROSZ"/>
        <s v="CAMPANA"/>
        <s v="MOREL"/>
        <s v="BLOQUEL"/>
        <s v="STEPHAN"/>
        <s v="AZIER"/>
        <s v="CHRISTY"/>
        <s v="BOUTEILLER"/>
        <s v="FOURNIER"/>
        <s v="MONTREUIL"/>
        <s v="FAYAC"/>
        <s v="BAUBIGNY"/>
        <s v="CHAOUCHE"/>
        <s v="BAUD"/>
        <s v="SAUVAGEOT"/>
        <s v="DELONNELLE"/>
        <s v="DELAFOSSE"/>
        <s v="VERGNE"/>
        <s v="VALENTIN"/>
        <s v="GUIGON"/>
        <s v="DOUCHET"/>
        <s v="CARVALHO"/>
        <s v="BETON"/>
        <s v="JOUVENON"/>
        <s v="ROUX"/>
        <s v="PADRE"/>
        <s v="LORENZO"/>
        <s v="GIRARDBERTHET"/>
        <s v="VASCO"/>
        <s v="UBERSCHLAG"/>
        <s v="BOUVET"/>
        <s v="KANTACH"/>
        <s v="CAMANDONE"/>
        <s v="BOISIER"/>
        <s v="NIRLO"/>
        <s v="ZOHRA"/>
        <s v="LEGRAND"/>
        <s v="CASANOVA"/>
        <s v="KERVAHUT"/>
        <s v="XAVIER"/>
        <s v="FAOUZI"/>
        <s v="GIDROL"/>
        <s v="TAMAGNY"/>
        <s v="LAGET"/>
        <s v="POIRIER"/>
        <s v="SOULAN"/>
        <s v="DARRACQ"/>
        <s v="PATIN"/>
        <s v="BOURREL"/>
        <s v="BELMEHDI"/>
        <s v="JACQUEMIER"/>
        <s v="SLAIMIPOUCHAIN"/>
        <s v="ALBERTI"/>
        <s v="MANIER"/>
        <s v="BATT"/>
        <s v="DEVULPILLIERESDEREYDET"/>
        <s v="JOURDAIN"/>
        <s v="LAURIER"/>
        <s v="BAKI"/>
        <s v="CLAIR"/>
        <s v="EMINET"/>
        <s v="MICHEL"/>
        <s v="LEVEQUE"/>
        <s v="LIGNANZI"/>
        <s v="PAN"/>
        <s v="BOEGEAT"/>
        <s v="MERLE"/>
        <s v="BOUJEMAA"/>
        <s v="VULLIEZ"/>
        <s v="MARTH"/>
        <s v="MAGLI"/>
        <s v="GEORGES"/>
        <s v="VULLIET"/>
        <s v="GENOUD"/>
        <s v="CHEVALIER"/>
        <s v="GUYON"/>
        <s v="DANNEELS"/>
        <s v="VINDRET"/>
        <s v="BURNIER"/>
        <s v="NGAMBENE"/>
        <s v="DUFOURD"/>
        <s v="FIGLIUZZI"/>
        <s v="BRIDAULT"/>
        <s v="KLETHI"/>
        <s v="PAGEOT"/>
        <s v="DHOTE"/>
        <s v="BONNEVILLE"/>
        <s v="SEMELIN"/>
        <s v="DUPERREX"/>
        <s v="JAULAIN"/>
        <s v="PERUZZO"/>
        <s v="LOPEZ"/>
        <s v="MOCCAND"/>
        <s v="RAMEL"/>
        <s v="BOURCIER"/>
        <s v="LEROUX"/>
        <s v="BARRUCAND"/>
        <s v="BOUJEMÂA"/>
        <s v="LIMACHER"/>
        <s v="PLEVY"/>
        <s v="FERREIRA"/>
        <s v="BERTHOUD"/>
        <s v="GUERIN"/>
        <s v="GAGLIOLO"/>
        <s v="AVOCAT-MAULAZ"/>
        <s v="RICHARD"/>
        <s v="DUPIN"/>
        <s v="HERTOGE"/>
        <s v="CANAL"/>
        <s v="SIMON"/>
        <s v="CREVOT"/>
        <s v="LISA"/>
        <s v="BATAILLE"/>
        <s v="ROSELINE"/>
        <s v="JACQUEMOT"/>
        <s v="DE SANTIAGO"/>
        <s v="SPLAWSKI"/>
        <s v="DE VULPILLIÈRES"/>
        <s v="GAGLIARDI"/>
        <s v="CAMUS"/>
        <s v="VORMS"/>
        <s v="PETIOT"/>
        <s v="CLABAU"/>
        <s v="MARTIN"/>
        <s v="TRICOUT"/>
        <s v="MAGNIER"/>
        <s v="KENTOURI-BONOD"/>
        <s v="BOVET"/>
        <s v="CARTRY"/>
        <s v="DEAZEVEDO"/>
        <s v="NANCHE"/>
        <s v="LENOIR"/>
        <s v="DELAPLAGNE"/>
        <s v="GENIN"/>
        <s v="PROUTE"/>
        <s v="MESSERLI"/>
        <s v="LOLLIOZ"/>
        <s v="GUIGON CALDERINI"/>
        <s v="COURDIER"/>
        <s v="LEHUEN"/>
        <m/>
        <s v="MOUHIM" u="1"/>
        <s v="CONIQUET" u="1"/>
        <s v="PRUDNT" u="1"/>
        <s v="CAPANELLI" u="1"/>
        <s v="BAUBIGNY - GALLON" u="1"/>
        <s v="MATHON" u="1"/>
        <s v="ROTUREAU" u="1"/>
        <s v="GALLON" u="1"/>
        <s v="MURIEL" u="1"/>
        <s v="AÏCH" u="1"/>
        <s v="FROSSARD" u="1"/>
        <s v="VALERIE" u="1"/>
        <s v="SAUGE" u="1"/>
        <s v="HUGUET" u="1"/>
        <s v="MOREIRA" u="1"/>
        <s v="AGAUD" u="1"/>
        <s v="LEHMANN" u="1"/>
        <s v="LOUAT" u="1"/>
        <s v="DOLÉ" u="1"/>
        <s v="BLAISON" u="1"/>
        <s v="LEBLOND" u="1"/>
        <s v="MIKAEL" u="1"/>
        <s v="CLAEYS" u="1"/>
        <s v="JUDITH" u="1"/>
        <s v="MELISA" u="1"/>
        <s v="BULOU" u="1"/>
        <s v="COCHARD" u="1"/>
        <s v="LABORDE" u="1"/>
        <s v="BIERMANN" u="1"/>
        <s v="MORISOT" u="1"/>
        <s v="HERIE" u="1"/>
        <s v="AICH" u="1"/>
        <s v="PETIT" u="1"/>
        <s v="GUÉRIN" u="1"/>
        <s v="CAPANNELLI" u="1"/>
        <s v="LE ROUX" u="1"/>
        <s v="GOULIELMAKIS" u="1"/>
        <s v="DUPONT" u="1"/>
        <s v="GACE" u="1"/>
        <s v="CARVALHO RAMEL" u="1"/>
        <s v="PERRILLAT" u="1"/>
        <s v="THOM" u="1"/>
        <s v="MICHELETTO" u="1"/>
        <s v="JURY" u="1"/>
        <s v="LAGUNA LAHUERTA" u="1"/>
        <s v="PRAS" u="1"/>
        <s v="HARTMANN" u="1"/>
        <s v="MUTSCHLER" u="1"/>
        <s v="FALIEU" u="1"/>
        <s v="GODARD" u="1"/>
        <s v="PROUTÉ" u="1"/>
        <s v="SANCHEZ" u="1"/>
        <s v="JOUSSERAND" u="1"/>
        <s v="FOURNIER LANGLAIS" u="1"/>
        <s v="MBANG" u="1"/>
        <s v="BADOIL" u="1"/>
        <s v="STERPIONE" u="1"/>
        <s v="GAILLARD-LIAUDON" u="1"/>
        <s v="BORNEND" u="1"/>
        <s v="BAJRAMI" u="1"/>
        <s v="NICOLAS-LEGER" u="1"/>
        <s v="JEANSOULÉ" u="1"/>
        <s v="DESHAYES" u="1"/>
        <s v="MBAYE" u="1"/>
        <s v="CONTANT" u="1"/>
        <s v="RODRIGUES" u="1"/>
        <s v="AURORE" u="1"/>
        <s v="BOURGEOIS" u="1"/>
        <s v="VETTER" u="1"/>
        <s v="ROULLARD" u="1"/>
        <s v="HIVER" u="1"/>
        <s v="EMMANUELLE" u="1"/>
        <s v="LUTON" u="1"/>
        <s v="BESOMBES" u="1"/>
        <s v="HEMAR" u="1"/>
        <s v="SPORTIELLO" u="1"/>
        <s v="PERRILLAT/NUNES" u="1"/>
        <s v="FRANCOISE" u="1"/>
        <s v="KHALIL" u="1"/>
        <s v="FIGUET" u="1"/>
        <s v="LEGON" u="1"/>
        <s v="RÉGINE" u="1"/>
        <s v="HELBERT" u="1"/>
        <s v="STEFANI" u="1"/>
        <s v="BORGNIET" u="1"/>
        <s v="QUILLET" u="1"/>
        <s v="M'BAYE" u="1"/>
        <s v="BOULTOUREAU" u="1"/>
        <s v="BRUNCHER" u="1"/>
        <s v="DIALLO" u="1"/>
        <s v="RHODE BERNARD" u="1"/>
        <s v="CAGNOLI" u="1"/>
        <s v="MONTEIRO" u="1"/>
        <s v="BOËGEAT" u="1"/>
        <s v="DETOISIEN" u="1"/>
        <s v="EGLOFF-LEBLOND" u="1"/>
        <s v="INCANDELA" u="1"/>
        <s v="VALY" u="1"/>
        <s v="LIERMIER" u="1"/>
        <s v="JANDARD" u="1"/>
        <s v="VALÉRIE" u="1"/>
        <s v="SLAMA" u="1"/>
        <s v="KIBLER" u="1"/>
        <s v="ANGLADE" u="1"/>
        <s v="FERNANDEZ" u="1"/>
        <s v="MORGANE" u="1"/>
        <s v="GOUDINI" u="1"/>
        <s v="CARRIER" u="1"/>
        <s v="CHATELAIN" u="1"/>
        <s v="APAIX" u="1"/>
        <s v="LEBOEUF" u="1"/>
        <s v="BRUYERE" u="1"/>
        <s v="LECLERCQ" u="1"/>
        <s v="BOUCETTA-CHOQUET" u="1"/>
        <s v="QENDIL" u="1"/>
        <s v="LIMAM" u="1"/>
        <s v="CAMUS LECLERCQ" u="1"/>
        <s v="BOUCHOT-KICAJ" u="1"/>
        <s v="VORGER" u="1"/>
        <s v="PODER" u="1"/>
        <s v="VAUTHIER" u="1"/>
        <s v="ROY" u="1"/>
        <s v="SETIEN" u="1"/>
        <s v="COSTE" u="1"/>
        <s v="COLSON" u="1"/>
        <s v="ISABELLE" u="1"/>
        <s v="." u="1"/>
      </sharedItems>
    </cacheField>
    <cacheField name="dt" numFmtId="0">
      <sharedItems containsBlank="1" count="5">
        <s v="GE"/>
        <s v="CH"/>
        <s v="BA"/>
        <s v="V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manuel CHAPPAZ" refreshedDate="45959.688167939814" createdVersion="8" refreshedVersion="8" minRefreshableVersion="3" recordCount="587" xr:uid="{3229B7CE-F711-2140-A605-6E178426EFD2}">
  <cacheSource type="worksheet">
    <worksheetSource ref="O1:O1048576" sheet="Data"/>
  </cacheSource>
  <cacheFields count="4">
    <cacheField name="date_prescription" numFmtId="0">
      <sharedItems containsNonDate="0" containsDate="1" containsString="0" containsBlank="1" minDate="2021-05-05T00:00:00" maxDate="2025-10-29T00:00:00" count="777">
        <d v="2025-10-28T00:00:00"/>
        <d v="2025-10-27T00:00:00"/>
        <d v="2025-10-23T00:00:00"/>
        <d v="2025-10-22T00:00:00"/>
        <d v="2025-10-20T00:00:00"/>
        <d v="2025-10-17T00:00:00"/>
        <d v="2025-10-15T00:00:00"/>
        <d v="2025-10-14T00:00:00"/>
        <d v="2025-10-13T00:00:00"/>
        <d v="2025-10-09T00:00:00"/>
        <d v="2025-10-07T00:00:00"/>
        <d v="2025-10-06T00:00:00"/>
        <d v="2025-10-03T00:00:00"/>
        <d v="2025-09-30T00:00:00"/>
        <d v="2025-09-29T00:00:00"/>
        <d v="2025-09-24T00:00:00"/>
        <d v="2025-09-26T00:00:00"/>
        <d v="2025-09-25T00:00:00"/>
        <d v="2025-09-23T00:00:00"/>
        <d v="2025-09-22T00:00:00"/>
        <d v="2025-09-19T00:00:00"/>
        <d v="2025-09-18T00:00:00"/>
        <d v="2025-09-16T00:00:00"/>
        <d v="2025-09-15T00:00:00"/>
        <d v="2025-09-12T00:00:00"/>
        <d v="2025-09-11T00:00:00"/>
        <d v="2025-09-10T00:00:00"/>
        <d v="2025-09-08T00:00:00"/>
        <d v="2025-09-05T00:00:00"/>
        <d v="2025-09-04T00:00:00"/>
        <d v="2025-08-26T00:00:00"/>
        <d v="2025-06-17T00:00:00"/>
        <d v="2025-09-03T00:00:00"/>
        <d v="2025-08-29T00:00:00"/>
        <d v="2025-08-28T00:00:00"/>
        <d v="2025-08-22T00:00:00"/>
        <d v="2025-08-21T00:00:00"/>
        <d v="2025-08-20T00:00:00"/>
        <d v="2025-08-19T00:00:00"/>
        <d v="2025-08-18T00:00:00"/>
        <d v="2025-08-14T00:00:00"/>
        <d v="2025-08-12T00:00:00"/>
        <d v="2025-08-08T00:00:00"/>
        <d v="2025-08-07T00:00:00"/>
        <d v="2025-08-05T00:00:00"/>
        <d v="2025-08-04T00:00:00"/>
        <d v="2025-07-31T00:00:00"/>
        <d v="2025-07-30T00:00:00"/>
        <d v="2025-07-24T00:00:00"/>
        <d v="2025-07-29T00:00:00"/>
        <d v="2025-07-25T00:00:00"/>
        <d v="2025-07-23T00:00:00"/>
        <d v="2025-07-22T00:00:00"/>
        <d v="2025-07-17T00:00:00"/>
        <d v="2025-07-16T00:00:00"/>
        <d v="2025-07-15T00:00:00"/>
        <d v="2025-07-11T00:00:00"/>
        <d v="2025-07-10T00:00:00"/>
        <d v="2025-07-09T00:00:00"/>
        <d v="2025-07-08T00:00:00"/>
        <d v="2025-07-07T00:00:00"/>
        <d v="2025-07-04T00:00:00"/>
        <d v="2025-07-03T00:00:00"/>
        <d v="2025-07-02T00:00:00"/>
        <d v="2025-07-01T00:00:00"/>
        <d v="2025-06-30T00:00:00"/>
        <d v="2025-06-27T00:00:00"/>
        <d v="2025-06-26T00:00:00"/>
        <d v="2025-06-25T00:00:00"/>
        <d v="2025-06-24T00:00:00"/>
        <d v="2025-06-23T00:00:00"/>
        <d v="2025-06-20T00:00:00"/>
        <d v="2025-06-18T00:00:00"/>
        <d v="2025-06-16T00:00:00"/>
        <d v="2025-06-13T00:00:00"/>
        <d v="2025-06-12T00:00:00"/>
        <d v="2025-06-11T00:00:00"/>
        <d v="2025-06-05T00:00:00"/>
        <d v="2025-06-04T00:00:00"/>
        <d v="2025-06-03T00:00:00"/>
        <d v="2025-06-02T00:00:00"/>
        <d v="2025-05-27T00:00:00"/>
        <d v="2025-05-28T00:00:00"/>
        <d v="2025-05-26T00:00:00"/>
        <d v="2025-05-23T00:00:00"/>
        <d v="2025-05-21T00:00:00"/>
        <d v="2025-05-20T00:00:00"/>
        <d v="2025-05-16T00:00:00"/>
        <d v="2025-05-15T00:00:00"/>
        <d v="2025-05-14T00:00:00"/>
        <d v="2025-05-13T00:00:00"/>
        <d v="2025-05-12T00:00:00"/>
        <d v="2025-05-09T00:00:00"/>
        <d v="2025-05-07T00:00:00"/>
        <d v="2025-05-06T00:00:00"/>
        <d v="2025-05-05T00:00:00"/>
        <d v="2025-04-30T00:00:00"/>
        <d v="2025-04-29T00:00:00"/>
        <d v="2025-04-28T00:00:00"/>
        <d v="2025-04-25T00:00:00"/>
        <d v="2025-04-24T00:00:00"/>
        <d v="2025-04-23T00:00:00"/>
        <d v="2025-04-22T00:00:00"/>
        <d v="2025-04-18T00:00:00"/>
        <d v="2025-04-17T00:00:00"/>
        <d v="2025-04-16T00:00:00"/>
        <d v="2025-04-15T00:00:00"/>
        <d v="2025-04-14T00:00:00"/>
        <d v="2025-04-11T00:00:00"/>
        <d v="2025-04-10T00:00:00"/>
        <d v="2025-04-09T00:00:00"/>
        <d v="2025-04-08T00:00:00"/>
        <d v="2025-04-07T00:00:00"/>
        <d v="2025-04-04T00:00:00"/>
        <d v="2025-04-03T00:00:00"/>
        <d v="2025-04-02T00:00:00"/>
        <d v="2025-04-01T00:00:00"/>
        <d v="2025-03-31T00:00:00"/>
        <d v="2025-03-26T00:00:00"/>
        <d v="2025-03-25T00:00:00"/>
        <d v="2025-03-24T00:00:00"/>
        <d v="2025-03-20T00:00:00"/>
        <d v="2025-03-19T00:00:00"/>
        <d v="2025-03-18T00:00:00"/>
        <d v="2025-03-17T00:00:00"/>
        <d v="2025-03-14T00:00:00"/>
        <d v="2025-03-13T00:00:00"/>
        <d v="2025-03-12T00:00:00"/>
        <d v="2025-03-10T00:00:00"/>
        <d v="2025-03-11T00:00:00"/>
        <d v="2025-03-07T00:00:00"/>
        <d v="2025-03-06T00:00:00"/>
        <d v="2025-03-05T00:00:00"/>
        <d v="2025-03-04T00:00:00"/>
        <d v="2025-03-03T00:00:00"/>
        <d v="2025-03-02T00:00:00"/>
        <d v="2025-02-27T00:00:00"/>
        <d v="2025-02-26T00:00:00"/>
        <d v="2025-02-25T00:00:00"/>
        <d v="2025-02-24T00:00:00"/>
        <d v="2025-02-21T00:00:00"/>
        <d v="2025-02-20T00:00:00"/>
        <d v="2025-02-19T00:00:00"/>
        <d v="2025-02-18T00:00:00"/>
        <d v="2025-02-17T00:00:00"/>
        <d v="2025-02-14T00:00:00"/>
        <d v="2025-02-13T00:00:00"/>
        <d v="2025-02-12T00:00:00"/>
        <d v="2025-02-11T00:00:00"/>
        <d v="2025-02-10T00:00:00"/>
        <d v="2025-02-07T00:00:00"/>
        <d v="2025-02-06T00:00:00"/>
        <d v="2025-02-05T00:00:00"/>
        <d v="2025-02-04T00:00:00"/>
        <d v="2025-02-03T00:00:00"/>
        <d v="2025-01-30T00:00:00"/>
        <d v="2025-01-31T00:00:00"/>
        <d v="2025-01-29T00:00:00"/>
        <d v="2025-01-28T00:00:00"/>
        <d v="2025-01-24T00:00:00"/>
        <d v="2025-01-27T00:00:00"/>
        <d v="2025-01-23T00:00:00"/>
        <d v="2025-01-22T00:00:00"/>
        <d v="2025-01-21T00:00:00"/>
        <d v="2025-01-20T00:00:00"/>
        <d v="2025-01-16T00:00:00"/>
        <d v="2025-01-15T00:00:00"/>
        <d v="2025-01-14T00:00:00"/>
        <d v="2025-01-13T00:00:00"/>
        <d v="2025-01-10T00:00:00"/>
        <d v="2025-01-09T00:00:00"/>
        <d v="2025-01-08T00:00:00"/>
        <d v="2025-01-07T00:00:00"/>
        <d v="2025-01-06T00:00:00"/>
        <d v="2025-01-03T00:00:00"/>
        <d v="2024-12-31T00:00:00"/>
        <d v="2024-12-30T00:00:00"/>
        <d v="2024-12-27T00:00:00"/>
        <d v="2024-12-26T00:00:00"/>
        <d v="2024-12-23T00:00:00"/>
        <d v="2024-12-20T00:00:00"/>
        <d v="2024-12-10T00:00:00"/>
        <d v="2024-12-19T00:00:00"/>
        <d v="2024-12-18T00:00:00"/>
        <d v="2024-12-17T00:00:00"/>
        <d v="2024-12-16T00:00:00"/>
        <d v="2024-12-13T00:00:00"/>
        <d v="2024-12-12T00:00:00"/>
        <d v="2024-10-18T00:00:00"/>
        <d v="2024-12-09T00:00:00"/>
        <d v="2024-12-06T00:00:00"/>
        <d v="2024-12-03T00:00:00"/>
        <d v="2024-12-05T00:00:00"/>
        <d v="2024-12-04T00:00:00"/>
        <d v="2024-12-02T00:00:00"/>
        <d v="2024-11-29T00:00:00"/>
        <d v="2024-11-28T00:00:00"/>
        <d v="2024-11-27T00:00:00"/>
        <d v="2024-11-26T00:00:00"/>
        <d v="2024-11-25T00:00:00"/>
        <d v="2024-11-22T00:00:00"/>
        <d v="2024-11-20T00:00:00"/>
        <d v="2024-11-19T00:00:00"/>
        <d v="2024-11-18T00:00:00"/>
        <d v="2024-11-15T00:00:00"/>
        <d v="2024-11-14T00:00:00"/>
        <d v="2024-11-13T00:00:00"/>
        <d v="2024-11-12T00:00:00"/>
        <d v="2024-11-08T00:00:00"/>
        <d v="2024-11-07T00:00:00"/>
        <d v="2024-11-06T00:00:00"/>
        <d v="2024-11-04T00:00:00"/>
        <d v="2024-10-31T00:00:00"/>
        <d v="2024-10-30T00:00:00"/>
        <d v="2024-10-29T00:00:00"/>
        <d v="2024-10-25T00:00:00"/>
        <d v="2024-10-24T00:00:00"/>
        <d v="2024-10-22T00:00:00"/>
        <d v="2024-10-21T00:00:00"/>
        <d v="2024-10-23T00:00:00"/>
        <m/>
        <d v="2023-11-22T00:00:00" u="1"/>
        <d v="2023-12-13T00:00:00" u="1"/>
        <d v="2023-07-19T00:00:00" u="1"/>
        <d v="2024-02-13T00:00:00" u="1"/>
        <d v="2021-06-14T00:00:00" u="1"/>
        <d v="2024-06-19T00:00:00" u="1"/>
        <d v="2024-02-15T00:00:00" u="1"/>
        <d v="2021-06-15T00:00:00" u="1"/>
        <d v="2021-08-25T00:00:00" u="1"/>
        <d v="2024-06-04T00:00:00" u="1"/>
        <d v="2023-10-23T00:00:00" u="1"/>
        <d v="2022-09-27T00:00:00" u="1"/>
        <d v="2022-02-04T00:00:00" u="1"/>
        <d v="2024-10-11T00:00:00" u="1"/>
        <d v="2023-03-03T00:00:00" u="1"/>
        <d v="2024-08-02T00:00:00" u="1"/>
        <d v="2023-01-16T00:00:00" u="1"/>
        <d v="2021-09-09T00:00:00" u="1"/>
        <d v="2021-08-30T00:00:00" u="1"/>
        <d v="2021-09-07T00:00:00" u="1"/>
        <d v="2024-06-10T00:00:00" u="1"/>
        <d v="2024-01-29T00:00:00" u="1"/>
        <d v="2021-07-07T00:00:00" u="1"/>
        <d v="2023-10-24T00:00:00" u="1"/>
        <d v="2023-01-27T00:00:00" u="1"/>
        <d v="2024-05-15T00:00:00" u="1"/>
        <d v="2023-11-08T00:00:00" u="1"/>
        <d v="2021-07-23T00:00:00" u="1"/>
        <d v="2024-10-02T00:00:00" u="1"/>
        <d v="2024-04-08T00:00:00" u="1"/>
        <d v="2024-01-17T00:00:00" u="1"/>
        <d v="2023-10-27T00:00:00" u="1"/>
        <d v="2021-07-22T00:00:00" u="1"/>
        <d v="2021-05-10T00:00:00" u="1"/>
        <d v="2021-10-27T00:00:00" u="1"/>
        <d v="2024-05-21T00:00:00" u="1"/>
        <d v="2022-08-08T00:00:00" u="1"/>
        <d v="2023-05-12T00:00:00" u="1"/>
        <d v="2022-10-17T00:00:00" u="1"/>
        <d v="2022-09-23T00:00:00" u="1"/>
        <d v="2021-09-16T00:00:00" u="1"/>
        <d v="2022-08-23T00:00:00" u="1"/>
        <d v="2022-09-02T00:00:00" u="1"/>
        <d v="2022-01-10T00:00:00" u="1"/>
        <d v="2024-02-05T00:00:00" u="1"/>
        <d v="2024-02-20T00:00:00" u="1"/>
        <d v="2023-01-03T00:00:00" u="1"/>
        <d v="2022-10-11T00:00:00" u="1"/>
        <d v="2021-08-06T00:00:00" u="1"/>
        <d v="2021-09-20T00:00:00" u="1"/>
        <d v="2024-01-16T00:00:00" u="1"/>
        <d v="2024-03-05T00:00:00" u="1"/>
        <d v="2021-07-08T00:00:00" u="1"/>
        <d v="2024-05-27T00:00:00" u="1"/>
        <d v="2022-01-06T00:00:00" u="1"/>
        <d v="2024-05-16T00:00:00" u="1"/>
        <d v="2021-11-22T00:00:00" u="1"/>
        <d v="2024-04-30T00:00:00" u="1"/>
        <d v="2024-06-26T00:00:00" u="1"/>
        <d v="2022-09-19T00:00:00" u="1"/>
        <d v="2023-08-03T00:00:00" u="1"/>
        <d v="2022-09-16T00:00:00" u="1"/>
        <d v="2021-05-28T00:00:00" u="1"/>
        <d v="2024-02-06T00:00:00" u="1"/>
        <d v="2021-06-04T00:00:00" u="1"/>
        <d v="2021-10-28T00:00:00" u="1"/>
        <d v="2021-05-30T00:00:00" u="1"/>
        <d v="2021-08-24T00:00:00" u="1"/>
        <d v="2024-01-30T00:00:00" u="1"/>
        <d v="2022-09-30T00:00:00" u="1"/>
        <d v="2021-08-02T00:00:00" u="1"/>
        <d v="2021-06-09T00:00:00" u="1"/>
        <d v="2023-08-10T00:00:00" u="1"/>
        <d v="2024-01-18T00:00:00" u="1"/>
        <d v="2024-06-03T00:00:00" u="1"/>
        <d v="2022-12-08T00:00:00" u="1"/>
        <d v="2023-02-27T00:00:00" u="1"/>
        <d v="2021-08-23T00:00:00" u="1"/>
        <d v="2022-07-29T00:00:00" u="1"/>
        <d v="2021-11-25T00:00:00" u="1"/>
        <d v="2022-09-22T00:00:00" u="1"/>
        <d v="2022-08-16T00:00:00" u="1"/>
        <d v="2023-10-04T00:00:00" u="1"/>
        <d v="2023-04-06T00:00:00" u="1"/>
        <d v="2023-10-02T00:00:00" u="1"/>
        <d v="2023-06-02T00:00:00" u="1"/>
        <d v="2022-07-28T00:00:00" u="1"/>
        <d v="2021-08-20T00:00:00" u="1"/>
        <d v="2022-02-07T00:00:00" u="1"/>
        <d v="2023-11-30T00:00:00" u="1"/>
        <d v="2024-04-26T00:00:00" u="1"/>
        <d v="2021-09-15T00:00:00" u="1"/>
        <d v="2023-11-27T00:00:00" u="1"/>
        <d v="2022-07-07T00:00:00" u="1"/>
        <d v="2023-06-19T00:00:00" u="1"/>
        <d v="2022-02-08T00:00:00" u="1"/>
        <d v="2024-04-04T00:00:00" u="1"/>
        <d v="2023-12-20T00:00:00" u="1"/>
        <d v="2022-10-03T00:00:00" u="1"/>
        <d v="2022-10-18T00:00:00" u="1"/>
        <d v="2023-12-08T00:00:00" u="1"/>
        <d v="2023-01-11T00:00:00" u="1"/>
        <d v="2022-12-29T00:00:00" u="1"/>
        <d v="2024-01-10T00:00:00" u="1"/>
        <d v="2024-02-22T00:00:00" u="1"/>
        <d v="2023-03-27T00:00:00" u="1"/>
        <d v="2021-06-10T00:00:00" u="1"/>
        <d v="2022-11-22T00:00:00" u="1"/>
        <d v="2022-11-14T00:00:00" u="1"/>
        <d v="2024-07-17T00:00:00" u="1"/>
        <d v="2023-07-25T00:00:00" u="1"/>
        <d v="2021-06-16T00:00:00" u="1"/>
        <d v="2021-06-17T00:00:00" u="1"/>
        <d v="2021-09-14T00:00:00" u="1"/>
        <d v="2023-04-25T00:00:00" u="1"/>
        <d v="2021-10-04T00:00:00" u="1"/>
        <d v="2023-07-07T00:00:00" u="1"/>
        <d v="2022-09-08T00:00:00" u="1"/>
        <d v="2022-08-04T00:00:00" u="1"/>
        <d v="2022-08-09T00:00:00" u="1"/>
        <d v="2022-01-17T00:00:00" u="1"/>
        <d v="2022-10-14T00:00:00" u="1"/>
        <d v="2023-04-04T00:00:00" u="1"/>
        <d v="2021-11-15T00:00:00" u="1"/>
        <d v="2023-11-13T00:00:00" u="1"/>
        <d v="2023-05-02T00:00:00" u="1"/>
        <d v="2023-10-05T00:00:00" u="1"/>
        <d v="2023-09-12T00:00:00" u="1"/>
        <d v="2023-05-30T00:00:00" u="1"/>
        <d v="2024-04-16T00:00:00" u="1"/>
        <d v="2023-02-16T00:00:00" u="1"/>
        <d v="2023-12-14T00:00:00" u="1"/>
        <d v="2023-12-29T00:00:00" u="1"/>
        <d v="2022-08-05T00:00:00" u="1"/>
        <d v="2021-12-15T00:00:00" u="1"/>
        <d v="2023-08-29T00:00:00" u="1"/>
        <d v="2022-11-08T00:00:00" u="1"/>
        <d v="2023-03-10T00:00:00" u="1"/>
        <d v="2021-08-13T00:00:00" u="1"/>
        <d v="2023-12-21T00:00:00" u="1"/>
        <d v="2021-10-29T00:00:00" u="1"/>
        <d v="2022-11-07T00:00:00" u="1"/>
        <d v="2023-10-12T00:00:00" u="1"/>
        <d v="2022-10-04T00:00:00" u="1"/>
        <d v="2021-11-17T00:00:00" u="1"/>
        <d v="2021-12-13T00:00:00" u="1"/>
        <d v="2023-02-02T00:00:00" u="1"/>
        <d v="2022-10-19T00:00:00" u="1"/>
        <d v="2021-07-30T00:00:00" u="1"/>
        <d v="2022-01-04T00:00:00" u="1"/>
        <d v="2021-07-12T00:00:00" u="1"/>
        <d v="2024-03-20T00:00:00" u="1"/>
        <d v="2023-02-01T00:00:00" u="1"/>
        <d v="2023-01-18T00:00:00" u="1"/>
        <d v="2023-09-06T00:00:00" u="1"/>
        <d v="2024-04-12T00:00:00" u="1"/>
        <d v="2022-01-03T00:00:00" u="1"/>
        <d v="2022-01-18T00:00:00" u="1"/>
        <d v="2024-05-06T00:00:00" u="1"/>
        <d v="2024-01-05T00:00:00" u="1"/>
        <d v="2023-11-16T00:00:00" u="1"/>
        <d v="2024-08-23T00:00:00" u="1"/>
        <d v="2021-10-12T00:00:00" u="1"/>
        <d v="2022-07-08T00:00:00" u="1"/>
        <d v="2021-09-08T00:00:00" u="1"/>
        <d v="2023-10-09T00:00:00" u="1"/>
        <d v="2023-07-27T00:00:00" u="1"/>
        <d v="2022-09-15T00:00:00" u="1"/>
        <d v="2024-05-03T00:00:00" u="1"/>
        <d v="2024-04-11T00:00:00" u="1"/>
        <d v="2022-07-05T00:00:00" u="1"/>
        <d v="2023-07-17T00:00:00" u="1"/>
        <d v="2023-06-30T00:00:00" u="1"/>
        <d v="2024-01-04T00:00:00" u="1"/>
        <d v="2023-06-07T00:00:00" u="1"/>
        <d v="2023-09-01T00:00:00" u="1"/>
        <d v="2023-07-28T00:00:00" u="1"/>
        <d v="2021-11-19T00:00:00" u="1"/>
        <d v="2024-04-18T00:00:00" u="1"/>
        <d v="2023-10-17T00:00:00" u="1"/>
        <d v="2022-12-23T00:00:00" u="1"/>
        <d v="2021-08-05T00:00:00" u="1"/>
        <d v="2024-04-03T00:00:00" u="1"/>
        <d v="2023-03-02T00:00:00" u="1"/>
        <d v="2021-11-03T00:00:00" u="1"/>
        <d v="2023-12-12T00:00:00" u="1"/>
        <d v="2023-08-18T00:00:00" u="1"/>
        <d v="2023-05-23T00:00:00" u="1"/>
        <d v="2023-09-07T00:00:00" u="1"/>
        <d v="2022-01-27T00:00:00" u="1"/>
        <d v="2024-05-24T00:00:00" u="1"/>
        <d v="2023-11-06T00:00:00" u="1"/>
        <d v="2022-09-20T00:00:00" u="1"/>
        <d v="2022-09-29T00:00:00" u="1"/>
        <d v="2023-05-15T00:00:00" u="1"/>
        <d v="2022-01-13T00:00:00" u="1"/>
        <d v="2024-01-11T00:00:00" u="1"/>
        <d v="2021-06-02T00:00:00" u="1"/>
        <d v="2021-08-17T00:00:00" u="1"/>
        <d v="2022-09-21T00:00:00" u="1"/>
        <d v="2023-02-15T00:00:00" u="1"/>
        <d v="2022-12-01T00:00:00" u="1"/>
        <d v="2024-08-01T00:00:00" u="1"/>
        <d v="2021-12-21T00:00:00" u="1"/>
        <d v="2022-07-21T00:00:00" u="1"/>
        <d v="2022-01-31T00:00:00" u="1"/>
        <d v="2023-12-01T00:00:00" u="1"/>
        <d v="2023-09-28T00:00:00" u="1"/>
        <d v="2023-05-04T00:00:00" u="1"/>
        <d v="2022-11-30T00:00:00" u="1"/>
        <d v="2021-10-20T00:00:00" u="1"/>
        <d v="2022-08-02T00:00:00" u="1"/>
        <d v="2024-02-08T00:00:00" u="1"/>
        <d v="2023-09-05T00:00:00" u="1"/>
        <d v="2021-11-09T00:00:00" u="1"/>
        <d v="2022-08-10T00:00:00" u="1"/>
        <d v="2023-05-09T00:00:00" u="1"/>
        <d v="2021-07-21T00:00:00" u="1"/>
        <d v="2022-08-31T00:00:00" u="1"/>
        <d v="2024-06-05T00:00:00" u="1"/>
        <d v="2024-09-26T00:00:00" u="1"/>
        <d v="2023-06-06T00:00:00" u="1"/>
        <d v="2021-08-26T00:00:00" u="1"/>
        <d v="2024-03-27T00:00:00" u="1"/>
        <d v="2024-01-15T00:00:00" u="1"/>
        <d v="2022-10-13T00:00:00" u="1"/>
        <d v="2024-08-22T00:00:00" u="1"/>
        <d v="2021-09-06T00:00:00" u="1"/>
        <d v="2022-12-28T00:00:00" u="1"/>
        <d v="2021-09-24T00:00:00" u="1"/>
        <d v="2023-07-20T00:00:00" u="1"/>
        <d v="2021-09-21T00:00:00" u="1"/>
        <d v="2021-12-07T00:00:00" u="1"/>
        <d v="2022-12-06T00:00:00" u="1"/>
        <d v="2023-07-26T00:00:00" u="1"/>
        <d v="2023-03-22T00:00:00" u="1"/>
        <d v="2023-08-16T00:00:00" u="1"/>
        <d v="2023-03-20T00:00:00" u="1"/>
        <d v="2024-04-10T00:00:00" u="1"/>
        <d v="2023-09-21T00:00:00" u="1"/>
        <d v="2023-06-21T00:00:00" u="1"/>
        <d v="2023-11-23T00:00:00" u="1"/>
        <d v="2022-09-26T00:00:00" u="1"/>
        <d v="2022-10-12T00:00:00" u="1"/>
        <d v="2023-06-05T00:00:00" u="1"/>
        <d v="2024-04-23T00:00:00" u="1"/>
        <d v="2021-08-11T00:00:00" u="1"/>
        <d v="2023-11-09T00:00:00" u="1"/>
        <d v="2022-11-28T00:00:00" u="1"/>
        <d v="2024-08-12T00:00:00" u="1"/>
        <d v="2021-10-11T00:00:00" u="1"/>
        <d v="2023-04-27T00:00:00" u="1"/>
        <d v="2023-04-26T00:00:00" u="1"/>
        <d v="2022-11-29T00:00:00" u="1"/>
        <d v="2023-03-23T00:00:00" u="1"/>
        <d v="2023-01-06T00:00:00" u="1"/>
        <d v="2021-09-22T00:00:00" u="1"/>
        <d v="2022-07-12T00:00:00" u="1"/>
        <d v="2021-05-18T00:00:00" u="1"/>
        <d v="2023-10-25T00:00:00" u="1"/>
        <d v="2023-06-28T00:00:00" u="1"/>
        <d v="2023-02-10T00:00:00" u="1"/>
        <d v="2023-11-28T00:00:00" u="1"/>
        <d v="2024-05-28T00:00:00" u="1"/>
        <d v="2023-02-06T00:00:00" u="1"/>
        <d v="2023-06-09T00:00:00" u="1"/>
        <d v="2022-01-14T00:00:00" u="1"/>
        <d v="2021-10-21T00:00:00" u="1"/>
        <d v="2022-09-07T00:00:00" u="1"/>
        <d v="2023-08-23T00:00:00" u="1"/>
        <d v="2022-11-02T00:00:00" u="1"/>
        <d v="2021-07-01T00:00:00" u="1"/>
        <d v="2021-10-19T00:00:00" u="1"/>
        <d v="2022-10-24T00:00:00" u="1"/>
        <d v="2021-11-26T00:00:00" u="1"/>
        <d v="2023-08-04T00:00:00" u="1"/>
        <d v="2024-10-13T00:00:00" u="1"/>
        <d v="2023-11-10T00:00:00" u="1"/>
        <d v="2024-04-17T00:00:00" u="1"/>
        <d v="2021-07-09T00:00:00" u="1"/>
        <d v="2021-12-16T00:00:00" u="1"/>
        <d v="2024-01-12T00:00:00" u="1"/>
        <d v="2022-11-10T00:00:00" u="1"/>
        <d v="2023-10-16T00:00:00" u="1"/>
        <d v="2022-10-10T00:00:00" u="1"/>
        <d v="2023-12-22T00:00:00" u="1"/>
        <d v="2024-01-03T00:00:00" u="1"/>
        <d v="2024-03-08T00:00:00" u="1"/>
        <d v="2021-12-06T00:00:00" u="1"/>
        <d v="2021-12-08T00:00:00" u="1"/>
        <d v="2021-07-27T00:00:00" u="1"/>
        <d v="2022-07-25T00:00:00" u="1"/>
        <d v="2021-08-04T00:00:00" u="1"/>
        <d v="2024-06-17T00:00:00" u="1"/>
        <d v="2023-12-26T00:00:00" u="1"/>
        <d v="2021-07-13T00:00:00" u="1"/>
        <d v="2023-10-11T00:00:00" u="1"/>
        <d v="2022-12-12T00:00:00" u="1"/>
        <d v="2023-04-28T00:00:00" u="1"/>
        <d v="2021-12-02T00:00:00" u="1"/>
        <d v="2023-07-04T00:00:00" u="1"/>
        <d v="2022-01-25T00:00:00" u="1"/>
        <d v="2021-12-01T00:00:00" u="1"/>
        <d v="2021-12-23T00:00:00" u="1"/>
        <d v="2021-10-18T00:00:00" u="1"/>
        <d v="2023-09-04T00:00:00" u="1"/>
        <d v="2022-07-19T00:00:00" u="1"/>
        <d v="2021-08-27T00:00:00" u="1"/>
        <d v="2021-09-30T00:00:00" u="1"/>
        <d v="2022-07-13T00:00:00" u="1"/>
        <d v="2023-09-13T00:00:00" u="1"/>
        <d v="2022-07-06T00:00:00" u="1"/>
        <d v="2022-12-09T00:00:00" u="1"/>
        <d v="2023-11-07T00:00:00" u="1"/>
        <d v="2024-02-07T00:00:00" u="1"/>
        <d v="2022-09-14T00:00:00" u="1"/>
        <d v="2022-12-19T00:00:00" u="1"/>
        <d v="2024-05-23T00:00:00" u="1"/>
        <d v="2021-09-28T00:00:00" u="1"/>
        <d v="2024-05-02T00:00:00" u="1"/>
        <d v="2023-10-13T00:00:00" u="1"/>
        <d v="2022-07-20T00:00:00" u="1"/>
        <d v="2024-04-05T00:00:00" u="1"/>
        <d v="2022-07-22T00:00:00" u="1"/>
        <d v="2024-06-18T00:00:00" u="1"/>
        <d v="2021-06-11T00:00:00" u="1"/>
        <d v="2023-01-02T00:00:00" u="1"/>
        <d v="2023-05-16T00:00:00" u="1"/>
        <d v="2021-05-17T00:00:00" u="1"/>
        <d v="2021-05-06T00:00:00" u="1"/>
        <d v="2022-09-05T00:00:00" u="1"/>
        <d v="2023-07-10T00:00:00" u="1"/>
        <d v="2022-01-19T00:00:00" u="1"/>
        <d v="2024-04-22T00:00:00" u="1"/>
        <d v="2024-06-25T00:00:00" u="1"/>
        <d v="2023-01-13T00:00:00" u="1"/>
        <d v="2022-10-25T00:00:00" u="1"/>
        <d v="2022-11-17T00:00:00" u="1"/>
        <d v="2024-10-04T00:00:00" u="1"/>
        <d v="2023-03-08T00:00:00" u="1"/>
        <d v="2024-02-14T00:00:00" u="1"/>
        <d v="2023-03-21T00:00:00" u="1"/>
        <d v="2023-05-26T00:00:00" u="1"/>
        <d v="2023-10-20T00:00:00" u="1"/>
        <d v="2024-03-12T00:00:00" u="1"/>
        <d v="2021-07-06T00:00:00" u="1"/>
        <d v="2023-01-20T00:00:00" u="1"/>
        <d v="2024-07-22T00:00:00" u="1"/>
        <d v="2022-08-22T00:00:00" u="1"/>
        <d v="2023-10-03T00:00:00" u="1"/>
        <d v="2021-05-27T00:00:00" u="1"/>
        <d v="2021-05-26T00:00:00" u="1"/>
        <d v="2023-06-12T00:00:00" u="1"/>
        <d v="2023-07-18T00:00:00" u="1"/>
        <d v="2023-03-13T00:00:00" u="1"/>
        <d v="2021-07-28T00:00:00" u="1"/>
        <d v="2021-10-13T00:00:00" u="1"/>
        <d v="2023-03-14T00:00:00" u="1"/>
        <d v="2023-01-05T00:00:00" u="1"/>
        <d v="2023-12-06T00:00:00" u="1"/>
        <d v="2021-09-17T00:00:00" u="1"/>
        <d v="2023-01-17T00:00:00" u="1"/>
        <d v="2024-02-02T00:00:00" u="1"/>
        <d v="2023-09-19T00:00:00" u="1"/>
        <d v="2022-12-07T00:00:00" u="1"/>
        <d v="2023-07-31T00:00:00" u="1"/>
        <d v="2022-10-26T00:00:00" u="1"/>
        <d v="2023-11-02T00:00:00" u="1"/>
        <d v="2024-07-31T00:00:00" u="1"/>
        <d v="2021-05-23T00:00:00" u="1"/>
        <d v="2021-06-24T00:00:00" u="1"/>
        <d v="2023-12-05T00:00:00" u="1"/>
        <d v="2023-04-12T00:00:00" u="1"/>
        <d v="2023-02-23T00:00:00" u="1"/>
        <d v="2022-08-03T00:00:00" u="1"/>
        <d v="2021-06-07T00:00:00" u="1"/>
        <d v="2022-11-21T00:00:00" u="1"/>
        <d v="2021-07-05T00:00:00" u="1"/>
        <d v="2023-06-27T00:00:00" u="1"/>
        <d v="2022-09-13T00:00:00" u="1"/>
        <d v="2023-07-06T00:00:00" u="1"/>
        <d v="2021-06-30T00:00:00" u="1"/>
        <d v="2024-02-23T00:00:00" u="1"/>
        <d v="2022-10-27T00:00:00" u="1"/>
        <d v="2023-01-10T00:00:00" u="1"/>
        <d v="2022-01-11T00:00:00" u="1"/>
        <d v="2023-11-20T00:00:00" u="1"/>
        <d v="2022-09-28T00:00:00" u="1"/>
        <d v="2024-03-26T00:00:00" u="1"/>
        <d v="2021-12-03T00:00:00" u="1"/>
        <d v="2024-06-13T00:00:00" u="1"/>
        <d v="2023-09-25T00:00:00" u="1"/>
        <d v="2024-07-10T00:00:00" u="1"/>
        <d v="2021-05-19T00:00:00" u="1"/>
        <d v="2022-12-15T00:00:00" u="1"/>
        <d v="2024-09-12T00:00:00" u="1"/>
        <d v="2024-05-22T00:00:00" u="1"/>
        <d v="2023-05-24T00:00:00" u="1"/>
        <d v="2023-02-22T00:00:00" u="1"/>
        <d v="2022-11-18T00:00:00" u="1"/>
        <d v="2023-02-14T00:00:00" u="1"/>
        <d v="2022-12-13T00:00:00" u="1"/>
        <d v="2023-01-12T00:00:00" u="1"/>
        <d v="2023-01-25T00:00:00" u="1"/>
        <d v="2021-08-16T00:00:00" u="1"/>
        <d v="2021-11-23T00:00:00" u="1"/>
        <d v="2021-12-14T00:00:00" u="1"/>
        <d v="2021-06-21T00:00:00" u="1"/>
        <d v="2024-02-29T00:00:00" u="1"/>
        <d v="2021-12-20T00:00:00" u="1"/>
        <d v="2022-02-02T00:00:00" u="1"/>
        <d v="2021-07-16T00:00:00" u="1"/>
        <d v="2021-07-02T00:00:00" u="1"/>
        <d v="2023-08-01T00:00:00" u="1"/>
        <d v="2021-06-28T00:00:00" u="1"/>
        <d v="2021-09-29T00:00:00" u="1"/>
        <d v="2024-06-06T00:00:00" u="1"/>
        <d v="2024-05-14T00:00:00" u="1"/>
        <d v="2021-08-18T00:00:00" u="1"/>
        <d v="2023-02-24T00:00:00" u="1"/>
        <d v="2021-10-01T00:00:00" u="1"/>
        <d v="2022-09-01T00:00:00" u="1"/>
        <d v="2023-02-03T00:00:00" u="1"/>
        <d v="2022-10-05T00:00:00" u="1"/>
        <d v="2023-11-17T00:00:00" u="1"/>
        <d v="2023-03-24T00:00:00" u="1"/>
        <d v="2021-12-10T00:00:00" u="1"/>
        <d v="2024-10-15T00:00:00" u="1"/>
        <d v="2021-10-07T00:00:00" u="1"/>
        <d v="2021-08-19T00:00:00" u="1"/>
        <d v="2022-08-30T00:00:00" u="1"/>
        <d v="2023-04-21T00:00:00" u="1"/>
        <d v="2023-03-29T00:00:00" u="1"/>
        <d v="2021-11-02T00:00:00" u="1"/>
        <d v="2023-10-31T00:00:00" u="1"/>
        <d v="2022-01-20T00:00:00" u="1"/>
        <d v="2023-10-18T00:00:00" u="1"/>
        <d v="2024-09-24T00:00:00" u="1"/>
        <d v="2022-11-03T00:00:00" u="1"/>
        <d v="2021-11-18T00:00:00" u="1"/>
        <d v="2021-09-23T00:00:00" u="1"/>
        <d v="2021-08-12T00:00:00" u="1"/>
        <d v="2023-11-14T00:00:00" u="1"/>
        <d v="2022-07-11T00:00:00" u="1"/>
        <d v="2024-07-29T00:00:00" u="1"/>
        <d v="2022-01-24T00:00:00" u="1"/>
        <d v="2022-12-22T00:00:00" u="1"/>
        <d v="2021-12-24T00:00:00" u="1"/>
        <d v="2021-07-15T00:00:00" u="1"/>
        <d v="2023-02-09T00:00:00" u="1"/>
        <d v="2022-12-14T00:00:00" u="1"/>
        <d v="2021-08-31T00:00:00" u="1"/>
        <d v="2024-01-19T00:00:00" u="1"/>
        <d v="2024-04-24T00:00:00" u="1"/>
        <d v="2023-03-28T00:00:00" u="1"/>
        <d v="2022-08-17T00:00:00" u="1"/>
        <d v="2024-01-02T00:00:00" u="1"/>
        <d v="2023-05-10T00:00:00" u="1"/>
        <d v="2023-05-25T00:00:00" u="1"/>
        <d v="2021-05-14T00:00:00" u="1"/>
        <d v="2022-10-06T00:00:00" u="1"/>
        <d v="2024-04-15T00:00:00" u="1"/>
        <d v="2024-02-01T00:00:00" u="1"/>
        <d v="2022-12-16T00:00:00" u="1"/>
        <d v="2021-09-03T00:00:00" u="1"/>
        <d v="2024-06-21T00:00:00" u="1"/>
        <d v="2024-09-25T00:00:00" u="1"/>
        <d v="2022-08-24T00:00:00" u="1"/>
        <d v="2021-07-26T00:00:00" u="1"/>
        <d v="2023-09-15T00:00:00" u="1"/>
        <d v="2023-08-22T00:00:00" u="1"/>
        <d v="2022-11-23T00:00:00" u="1"/>
        <d v="2024-03-19T00:00:00" u="1"/>
        <d v="2021-08-15T00:00:00" u="1"/>
        <d v="2022-09-09T00:00:00" u="1"/>
        <d v="2024-06-11T00:00:00" u="1"/>
        <d v="2021-09-27T00:00:00" u="1"/>
        <d v="2024-10-14T00:00:00" u="1"/>
        <d v="2024-02-19T00:00:00" u="1"/>
        <d v="2023-09-14T00:00:00" u="1"/>
        <d v="2023-12-07T00:00:00" u="1"/>
        <d v="2023-10-06T00:00:00" u="1"/>
        <d v="2022-09-06T00:00:00" u="1"/>
        <d v="2024-03-11T00:00:00" u="1"/>
        <d v="2022-07-18T00:00:00" u="1"/>
        <d v="2021-06-29T00:00:00" u="1"/>
        <d v="2021-11-05T00:00:00" u="1"/>
        <d v="2022-07-26T00:00:00" u="1"/>
        <d v="2021-09-13T00:00:00" u="1"/>
        <d v="2024-04-25T00:00:00" u="1"/>
        <d v="2022-08-19T00:00:00" u="1"/>
        <d v="2023-02-28T00:00:00" u="1"/>
        <d v="2023-08-02T00:00:00" u="1"/>
        <d v="2024-01-23T00:00:00" u="1"/>
        <d v="2021-10-22T00:00:00" u="1"/>
        <d v="2021-05-16T00:00:00" u="1"/>
        <d v="2023-01-31T00:00:00" u="1"/>
        <d v="2021-05-21T00:00:00" u="1"/>
        <d v="2023-10-26T00:00:00" u="1"/>
        <d v="2021-11-30T00:00:00" u="1"/>
        <d v="2022-09-12T00:00:00" u="1"/>
        <d v="2023-04-07T00:00:00" u="1"/>
        <d v="2021-10-08T00:00:00" u="1"/>
        <d v="2021-12-17T00:00:00" u="1"/>
        <d v="2023-09-18T00:00:00" u="1"/>
        <d v="2023-12-11T00:00:00" u="1"/>
        <d v="2024-10-16T00:00:00" u="1"/>
        <d v="2024-02-16T00:00:00" u="1"/>
        <d v="2023-08-30T00:00:00" u="1"/>
        <d v="2021-10-14T00:00:00" u="1"/>
        <d v="2024-02-26T00:00:00" u="1"/>
        <d v="2024-05-13T00:00:00" u="1"/>
        <d v="2024-07-15T00:00:00" u="1"/>
        <d v="2024-01-25T00:00:00" u="1"/>
        <d v="2023-03-17T00:00:00" u="1"/>
        <d v="2024-04-09T00:00:00" u="1"/>
        <d v="2024-04-02T00:00:00" u="1"/>
        <d v="2023-09-20T00:00:00" u="1"/>
        <d v="2023-06-01T00:00:00" u="1"/>
        <d v="2022-12-26T00:00:00" u="1"/>
        <d v="2024-06-14T00:00:00" u="1"/>
        <d v="2023-11-21T00:00:00" u="1"/>
        <d v="2023-09-27T00:00:00" u="1"/>
        <d v="2024-03-01T00:00:00" u="1"/>
        <d v="2024-05-31T00:00:00" u="1"/>
        <d v="2024-09-27T00:00:00" u="1"/>
        <d v="2023-07-24T00:00:00" u="1"/>
        <d v="2023-02-07T00:00:00" u="1"/>
        <d v="2024-10-08T00:00:00" u="1"/>
        <d v="2023-11-03T00:00:00" u="1"/>
        <d v="2023-03-15T00:00:00" u="1"/>
        <d v="2021-12-31T00:00:00" u="1"/>
        <d v="2023-05-03T00:00:00" u="1"/>
        <d v="2022-02-01T00:00:00" u="1"/>
        <d v="2023-03-01T00:00:00" u="1"/>
        <d v="2023-04-13T00:00:00" u="1"/>
        <d v="2023-08-24T00:00:00" u="1"/>
        <d v="2024-03-28T00:00:00" u="1"/>
        <d v="2024-09-18T00:00:00" u="1"/>
        <d v="2023-02-08T00:00:00" u="1"/>
        <d v="2021-05-25T00:00:00" u="1"/>
        <d v="2023-01-26T00:00:00" u="1"/>
        <d v="2021-11-10T00:00:00" u="1"/>
        <d v="2023-03-31T00:00:00" u="1"/>
        <d v="2024-03-04T00:00:00" u="1"/>
        <d v="2024-08-13T00:00:00" u="1"/>
        <d v="2024-02-12T00:00:00" u="1"/>
        <d v="2023-10-30T00:00:00" u="1"/>
        <d v="2024-05-29T00:00:00" u="1"/>
        <d v="2022-12-21T00:00:00" u="1"/>
        <d v="2021-11-29T00:00:00" u="1"/>
        <d v="2022-10-07T00:00:00" u="1"/>
        <d v="2021-05-05T00:00:00" u="1"/>
        <d v="2024-09-02T00:00:00" u="1"/>
        <d v="2021-05-07T00:00:00" u="1"/>
        <d v="2021-11-04T00:00:00" u="1"/>
      </sharedItems>
      <fieldGroup par="3"/>
    </cacheField>
    <cacheField name="Mois (date_prescription)" numFmtId="0" databaseField="0">
      <fieldGroup base="0">
        <rangePr groupBy="months" startDate="2024-10-18T00:00:00" endDate="2025-10-29T00:00:00"/>
        <groupItems count="14">
          <s v="&lt;18/10/2024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29/10/2025"/>
        </groupItems>
      </fieldGroup>
    </cacheField>
    <cacheField name="Trimestres (date_prescription)" numFmtId="0" databaseField="0">
      <fieldGroup base="0">
        <rangePr groupBy="quarters" startDate="2024-10-18T00:00:00" endDate="2025-10-29T00:00:00"/>
        <groupItems count="6">
          <s v="&lt;18/10/2024"/>
          <s v="Trimestre1"/>
          <s v="Trimestre2"/>
          <s v="Trimestre3"/>
          <s v="Trimestre4"/>
          <s v="&gt;29/10/2025"/>
        </groupItems>
      </fieldGroup>
    </cacheField>
    <cacheField name="Années (date_prescription)" numFmtId="0" databaseField="0">
      <fieldGroup base="0">
        <rangePr groupBy="years" startDate="2024-10-18T00:00:00" endDate="2025-10-29T00:00:00"/>
        <groupItems count="4">
          <s v="&lt;18/10/2024"/>
          <s v="2024"/>
          <s v="2025"/>
          <s v="&gt;29/10/2025"/>
        </groupItems>
      </fieldGroup>
    </cacheField>
  </cacheFields>
  <extLst>
    <ext xmlns:x14="http://schemas.microsoft.com/office/spreadsheetml/2009/9/main" uri="{725AE2AE-9491-48be-B2B4-4EB974FC3084}">
      <x14:pivotCacheDefinition/>
    </ext>
    <ext xmlns:xlpar="http://schemas.microsoft.com/office/spreadsheetml/2024/pivotAutoRefresh" uri="{DA1E1B2C-A1EE-400B-A0BD-712935E3C959}">
      <xlpar:autoRefresh>1</xlpar:autoRefresh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9">
  <r>
    <s v="Raquel"/>
    <x v="0"/>
    <x v="0"/>
  </r>
  <r>
    <s v="Raquel"/>
    <x v="0"/>
    <x v="0"/>
  </r>
  <r>
    <s v="Marieline"/>
    <x v="1"/>
    <x v="1"/>
  </r>
  <r>
    <s v="Sylla"/>
    <x v="2"/>
    <x v="2"/>
  </r>
  <r>
    <s v="Djamila"/>
    <x v="3"/>
    <x v="0"/>
  </r>
  <r>
    <s v="Sylla"/>
    <x v="2"/>
    <x v="2"/>
  </r>
  <r>
    <s v="Alizee"/>
    <x v="4"/>
    <x v="1"/>
  </r>
  <r>
    <s v="Johanna"/>
    <x v="5"/>
    <x v="1"/>
  </r>
  <r>
    <s v="B"/>
    <x v="6"/>
    <x v="2"/>
  </r>
  <r>
    <s v="Virginie"/>
    <x v="7"/>
    <x v="2"/>
  </r>
  <r>
    <s v="Guillemette"/>
    <x v="8"/>
    <x v="1"/>
  </r>
  <r>
    <s v="Aline"/>
    <x v="9"/>
    <x v="3"/>
  </r>
  <r>
    <s v="Jenny"/>
    <x v="10"/>
    <x v="1"/>
  </r>
  <r>
    <s v="Sylla"/>
    <x v="2"/>
    <x v="2"/>
  </r>
  <r>
    <s v="Cecile"/>
    <x v="11"/>
    <x v="0"/>
  </r>
  <r>
    <s v="Anaïs"/>
    <x v="12"/>
    <x v="2"/>
  </r>
  <r>
    <s v="Salome"/>
    <x v="13"/>
    <x v="0"/>
  </r>
  <r>
    <s v="Murielle"/>
    <x v="14"/>
    <x v="0"/>
  </r>
  <r>
    <s v="Djamila"/>
    <x v="3"/>
    <x v="0"/>
  </r>
  <r>
    <s v="Celine"/>
    <x v="15"/>
    <x v="3"/>
  </r>
  <r>
    <s v="Ludivine"/>
    <x v="16"/>
    <x v="3"/>
  </r>
  <r>
    <s v="Roseline"/>
    <x v="17"/>
    <x v="0"/>
  </r>
  <r>
    <s v="Edwige"/>
    <x v="18"/>
    <x v="3"/>
  </r>
  <r>
    <s v="Judith"/>
    <x v="19"/>
    <x v="3"/>
  </r>
  <r>
    <s v="Beatrice"/>
    <x v="20"/>
    <x v="1"/>
  </r>
  <r>
    <s v="Gérard"/>
    <x v="21"/>
    <x v="3"/>
  </r>
  <r>
    <s v="R-"/>
    <x v="22"/>
    <x v="2"/>
  </r>
  <r>
    <s v="Marieline"/>
    <x v="1"/>
    <x v="1"/>
  </r>
  <r>
    <s v="Anaïs"/>
    <x v="12"/>
    <x v="2"/>
  </r>
  <r>
    <s v="Beatrice"/>
    <x v="20"/>
    <x v="1"/>
  </r>
  <r>
    <s v="Sabah"/>
    <x v="23"/>
    <x v="0"/>
  </r>
  <r>
    <s v="Béatrice"/>
    <x v="24"/>
    <x v="1"/>
  </r>
  <r>
    <s v="Damien"/>
    <x v="25"/>
    <x v="3"/>
  </r>
  <r>
    <s v="Anaïs"/>
    <x v="12"/>
    <x v="2"/>
  </r>
  <r>
    <s v="Sophie"/>
    <x v="26"/>
    <x v="0"/>
  </r>
  <r>
    <s v="Sophie"/>
    <x v="26"/>
    <x v="0"/>
  </r>
  <r>
    <s v="B"/>
    <x v="6"/>
    <x v="0"/>
  </r>
  <r>
    <s v="Anne-sophie"/>
    <x v="27"/>
    <x v="0"/>
  </r>
  <r>
    <s v="Elodie"/>
    <x v="28"/>
    <x v="0"/>
  </r>
  <r>
    <s v="Vanessa"/>
    <x v="29"/>
    <x v="3"/>
  </r>
  <r>
    <s v="Melanie"/>
    <x v="30"/>
    <x v="2"/>
  </r>
  <r>
    <s v="Damien"/>
    <x v="25"/>
    <x v="3"/>
  </r>
  <r>
    <s v="Judith"/>
    <x v="19"/>
    <x v="3"/>
  </r>
  <r>
    <s v="V"/>
    <x v="31"/>
    <x v="0"/>
  </r>
  <r>
    <s v="B"/>
    <x v="6"/>
    <x v="0"/>
  </r>
  <r>
    <s v="Delphine"/>
    <x v="32"/>
    <x v="0"/>
  </r>
  <r>
    <s v="Isabelle"/>
    <x v="33"/>
    <x v="1"/>
  </r>
  <r>
    <s v="Flora"/>
    <x v="34"/>
    <x v="1"/>
  </r>
  <r>
    <s v="Raquel"/>
    <x v="0"/>
    <x v="0"/>
  </r>
  <r>
    <s v="Magali"/>
    <x v="35"/>
    <x v="0"/>
  </r>
  <r>
    <s v="M"/>
    <x v="36"/>
    <x v="2"/>
  </r>
  <r>
    <s v="Meghane"/>
    <x v="37"/>
    <x v="0"/>
  </r>
  <r>
    <s v="Estelle"/>
    <x v="38"/>
    <x v="3"/>
  </r>
  <r>
    <s v="Sarah"/>
    <x v="39"/>
    <x v="1"/>
  </r>
  <r>
    <s v="Beatrice"/>
    <x v="20"/>
    <x v="1"/>
  </r>
  <r>
    <s v="Djamila"/>
    <x v="3"/>
    <x v="0"/>
  </r>
  <r>
    <s v="Anaïs"/>
    <x v="12"/>
    <x v="2"/>
  </r>
  <r>
    <s v="Estelle"/>
    <x v="40"/>
    <x v="2"/>
  </r>
  <r>
    <s v="Carmendefatima"/>
    <x v="41"/>
    <x v="2"/>
  </r>
  <r>
    <s v="Véronique"/>
    <x v="42"/>
    <x v="2"/>
  </r>
  <r>
    <s v="Djamila"/>
    <x v="3"/>
    <x v="0"/>
  </r>
  <r>
    <s v="Sandrine"/>
    <x v="43"/>
    <x v="1"/>
  </r>
  <r>
    <s v="M"/>
    <x v="36"/>
    <x v="2"/>
  </r>
  <r>
    <s v="Sophie"/>
    <x v="44"/>
    <x v="2"/>
  </r>
  <r>
    <s v="Raquel"/>
    <x v="0"/>
    <x v="0"/>
  </r>
  <r>
    <s v="Leslie"/>
    <x v="45"/>
    <x v="0"/>
  </r>
  <r>
    <s v="Isabelle"/>
    <x v="33"/>
    <x v="1"/>
  </r>
  <r>
    <s v="E"/>
    <x v="46"/>
    <x v="3"/>
  </r>
  <r>
    <s v="Valerie"/>
    <x v="47"/>
    <x v="2"/>
  </r>
  <r>
    <s v="L"/>
    <x v="48"/>
    <x v="0"/>
  </r>
  <r>
    <s v="Laurie"/>
    <x v="49"/>
    <x v="2"/>
  </r>
  <r>
    <s v="Sophie"/>
    <x v="26"/>
    <x v="0"/>
  </r>
  <r>
    <s v="Fanny"/>
    <x v="50"/>
    <x v="0"/>
  </r>
  <r>
    <s v="Fred"/>
    <x v="51"/>
    <x v="1"/>
  </r>
  <r>
    <s v="Bakhta"/>
    <x v="52"/>
    <x v="2"/>
  </r>
  <r>
    <s v="A"/>
    <x v="53"/>
    <x v="0"/>
  </r>
  <r>
    <s v="Marie"/>
    <x v="54"/>
    <x v="2"/>
  </r>
  <r>
    <s v="Damien"/>
    <x v="25"/>
    <x v="3"/>
  </r>
  <r>
    <s v="Frederique"/>
    <x v="55"/>
    <x v="1"/>
  </r>
  <r>
    <s v="V"/>
    <x v="56"/>
    <x v="0"/>
  </r>
  <r>
    <s v="Marlene"/>
    <x v="57"/>
    <x v="2"/>
  </r>
  <r>
    <s v="Louise"/>
    <x v="58"/>
    <x v="0"/>
  </r>
  <r>
    <s v="Sabine"/>
    <x v="59"/>
    <x v="1"/>
  </r>
  <r>
    <s v="Celine"/>
    <x v="60"/>
    <x v="1"/>
  </r>
  <r>
    <s v="E"/>
    <x v="61"/>
    <x v="2"/>
  </r>
  <r>
    <s v="Isabelle"/>
    <x v="62"/>
    <x v="2"/>
  </r>
  <r>
    <s v="Céline"/>
    <x v="63"/>
    <x v="2"/>
  </r>
  <r>
    <s v="E"/>
    <x v="46"/>
    <x v="3"/>
  </r>
  <r>
    <s v="V"/>
    <x v="31"/>
    <x v="0"/>
  </r>
  <r>
    <s v="Amandine"/>
    <x v="64"/>
    <x v="3"/>
  </r>
  <r>
    <s v="Sabine"/>
    <x v="59"/>
    <x v="1"/>
  </r>
  <r>
    <s v="A"/>
    <x v="53"/>
    <x v="0"/>
  </r>
  <r>
    <s v="Eleonore"/>
    <x v="65"/>
    <x v="0"/>
  </r>
  <r>
    <s v="Laurie"/>
    <x v="49"/>
    <x v="2"/>
  </r>
  <r>
    <s v="Gérard"/>
    <x v="21"/>
    <x v="3"/>
  </r>
  <r>
    <s v="Gérard"/>
    <x v="21"/>
    <x v="3"/>
  </r>
  <r>
    <s v="Sophie"/>
    <x v="44"/>
    <x v="2"/>
  </r>
  <r>
    <s v="Vanessa"/>
    <x v="66"/>
    <x v="1"/>
  </r>
  <r>
    <s v="A"/>
    <x v="53"/>
    <x v="0"/>
  </r>
  <r>
    <s v="Johanna"/>
    <x v="67"/>
    <x v="3"/>
  </r>
  <r>
    <s v="Djamila"/>
    <x v="3"/>
    <x v="0"/>
  </r>
  <r>
    <s v="Edith"/>
    <x v="68"/>
    <x v="0"/>
  </r>
  <r>
    <s v="Julie"/>
    <x v="69"/>
    <x v="0"/>
  </r>
  <r>
    <s v="Marlene"/>
    <x v="57"/>
    <x v="2"/>
  </r>
  <r>
    <s v="Djamila"/>
    <x v="3"/>
    <x v="0"/>
  </r>
  <r>
    <s v="Murielle"/>
    <x v="14"/>
    <x v="0"/>
  </r>
  <r>
    <s v="Fanny"/>
    <x v="70"/>
    <x v="3"/>
  </r>
  <r>
    <s v="Flora"/>
    <x v="34"/>
    <x v="1"/>
  </r>
  <r>
    <s v="Zohra"/>
    <x v="71"/>
    <x v="2"/>
  </r>
  <r>
    <s v="Edith"/>
    <x v="68"/>
    <x v="0"/>
  </r>
  <r>
    <s v="Christelle"/>
    <x v="72"/>
    <x v="1"/>
  </r>
  <r>
    <s v="Sophie"/>
    <x v="26"/>
    <x v="0"/>
  </r>
  <r>
    <s v="Djamila"/>
    <x v="3"/>
    <x v="0"/>
  </r>
  <r>
    <s v="Sophie"/>
    <x v="44"/>
    <x v="2"/>
  </r>
  <r>
    <s v="Jean-marc"/>
    <x v="73"/>
    <x v="1"/>
  </r>
  <r>
    <s v="Sophie"/>
    <x v="44"/>
    <x v="2"/>
  </r>
  <r>
    <s v="M"/>
    <x v="36"/>
    <x v="2"/>
  </r>
  <r>
    <s v="Graziella"/>
    <x v="74"/>
    <x v="1"/>
  </r>
  <r>
    <s v="Kantach"/>
    <x v="75"/>
    <x v="2"/>
  </r>
  <r>
    <s v="Sandrine"/>
    <x v="76"/>
    <x v="2"/>
  </r>
  <r>
    <s v="Carine"/>
    <x v="77"/>
    <x v="2"/>
  </r>
  <r>
    <s v="Anaïs"/>
    <x v="12"/>
    <x v="2"/>
  </r>
  <r>
    <s v="Anne-sophie"/>
    <x v="27"/>
    <x v="0"/>
  </r>
  <r>
    <s v="M"/>
    <x v="36"/>
    <x v="2"/>
  </r>
  <r>
    <s v="Armelle"/>
    <x v="78"/>
    <x v="1"/>
  </r>
  <r>
    <s v="Anne-sophie"/>
    <x v="27"/>
    <x v="0"/>
  </r>
  <r>
    <s v="Elodie"/>
    <x v="79"/>
    <x v="0"/>
  </r>
  <r>
    <s v="Valerie"/>
    <x v="47"/>
    <x v="2"/>
  </r>
  <r>
    <s v="Maeva"/>
    <x v="80"/>
    <x v="0"/>
  </r>
  <r>
    <s v="Damien"/>
    <x v="25"/>
    <x v="3"/>
  </r>
  <r>
    <s v="Vanessa"/>
    <x v="29"/>
    <x v="3"/>
  </r>
  <r>
    <s v="Morgane"/>
    <x v="81"/>
    <x v="0"/>
  </r>
  <r>
    <s v="Djamila"/>
    <x v="3"/>
    <x v="0"/>
  </r>
  <r>
    <s v="Vanessa"/>
    <x v="66"/>
    <x v="1"/>
  </r>
  <r>
    <s v="Celine"/>
    <x v="15"/>
    <x v="3"/>
  </r>
  <r>
    <s v="E"/>
    <x v="61"/>
    <x v="0"/>
  </r>
  <r>
    <s v="Sophie"/>
    <x v="26"/>
    <x v="0"/>
  </r>
  <r>
    <s v="Djamila"/>
    <x v="3"/>
    <x v="0"/>
  </r>
  <r>
    <s v="A"/>
    <x v="53"/>
    <x v="2"/>
  </r>
  <r>
    <s v="Sarah"/>
    <x v="82"/>
    <x v="0"/>
  </r>
  <r>
    <s v="Perrine"/>
    <x v="83"/>
    <x v="2"/>
  </r>
  <r>
    <s v="M"/>
    <x v="36"/>
    <x v="2"/>
  </r>
  <r>
    <s v="Amelie"/>
    <x v="84"/>
    <x v="0"/>
  </r>
  <r>
    <s v="Jean-marc"/>
    <x v="73"/>
    <x v="0"/>
  </r>
  <r>
    <s v="Jenny"/>
    <x v="85"/>
    <x v="3"/>
  </r>
  <r>
    <s v="Anaïs"/>
    <x v="12"/>
    <x v="2"/>
  </r>
  <r>
    <s v="Murielle"/>
    <x v="14"/>
    <x v="0"/>
  </r>
  <r>
    <s v="Leslie"/>
    <x v="45"/>
    <x v="0"/>
  </r>
  <r>
    <s v="E"/>
    <x v="86"/>
    <x v="0"/>
  </r>
  <r>
    <s v="Pauline"/>
    <x v="87"/>
    <x v="0"/>
  </r>
  <r>
    <s v="Marie"/>
    <x v="54"/>
    <x v="2"/>
  </r>
  <r>
    <s v="Corinne"/>
    <x v="88"/>
    <x v="2"/>
  </r>
  <r>
    <s v="Diana"/>
    <x v="89"/>
    <x v="0"/>
  </r>
  <r>
    <s v="Diana"/>
    <x v="89"/>
    <x v="0"/>
  </r>
  <r>
    <s v="Carole"/>
    <x v="90"/>
    <x v="0"/>
  </r>
  <r>
    <s v="Jean-marc"/>
    <x v="73"/>
    <x v="3"/>
  </r>
  <r>
    <s v="Manon"/>
    <x v="91"/>
    <x v="0"/>
  </r>
  <r>
    <s v="Magalie"/>
    <x v="92"/>
    <x v="1"/>
  </r>
  <r>
    <s v="Rachida"/>
    <x v="22"/>
    <x v="2"/>
  </r>
  <r>
    <s v="E"/>
    <x v="46"/>
    <x v="3"/>
  </r>
  <r>
    <s v="M"/>
    <x v="36"/>
    <x v="2"/>
  </r>
  <r>
    <s v="Ludivine"/>
    <x v="16"/>
    <x v="3"/>
  </r>
  <r>
    <s v="Caroline"/>
    <x v="93"/>
    <x v="2"/>
  </r>
  <r>
    <s v="Sarah"/>
    <x v="82"/>
    <x v="0"/>
  </r>
  <r>
    <s v="Guillemette"/>
    <x v="8"/>
    <x v="1"/>
  </r>
  <r>
    <s v="Roseline"/>
    <x v="17"/>
    <x v="0"/>
  </r>
  <r>
    <s v="Caroline"/>
    <x v="94"/>
    <x v="0"/>
  </r>
  <r>
    <s v="Solene"/>
    <x v="95"/>
    <x v="0"/>
  </r>
  <r>
    <s v="Murielle"/>
    <x v="14"/>
    <x v="0"/>
  </r>
  <r>
    <s v="Lisa"/>
    <x v="96"/>
    <x v="0"/>
  </r>
  <r>
    <s v="Claude hélène"/>
    <x v="97"/>
    <x v="3"/>
  </r>
  <r>
    <s v="Eleonore"/>
    <x v="65"/>
    <x v="0"/>
  </r>
  <r>
    <s v="Edith"/>
    <x v="68"/>
    <x v="0"/>
  </r>
  <r>
    <s v="Anaïs"/>
    <x v="12"/>
    <x v="2"/>
  </r>
  <r>
    <s v="Djamila"/>
    <x v="3"/>
    <x v="0"/>
  </r>
  <r>
    <s v="Anaïs"/>
    <x v="12"/>
    <x v="2"/>
  </r>
  <r>
    <s v="Fanny"/>
    <x v="70"/>
    <x v="3"/>
  </r>
  <r>
    <s v="K"/>
    <x v="98"/>
    <x v="0"/>
  </r>
  <r>
    <s v="Sophie"/>
    <x v="26"/>
    <x v="0"/>
  </r>
  <r>
    <s v="Isabelle"/>
    <x v="99"/>
    <x v="0"/>
  </r>
  <r>
    <s v="Guillemette"/>
    <x v="8"/>
    <x v="1"/>
  </r>
  <r>
    <s v="Laure"/>
    <x v="100"/>
    <x v="2"/>
  </r>
  <r>
    <s v="Anaïs"/>
    <x v="12"/>
    <x v="2"/>
  </r>
  <r>
    <s v="Celine"/>
    <x v="101"/>
    <x v="1"/>
  </r>
  <r>
    <s v="Aurore"/>
    <x v="102"/>
    <x v="2"/>
  </r>
  <r>
    <s v="Caroline"/>
    <x v="94"/>
    <x v="0"/>
  </r>
  <r>
    <s v="Sophie"/>
    <x v="26"/>
    <x v="0"/>
  </r>
  <r>
    <s v="Anaïs"/>
    <x v="12"/>
    <x v="2"/>
  </r>
  <r>
    <s v="A"/>
    <x v="53"/>
    <x v="2"/>
  </r>
  <r>
    <s v="Jessie"/>
    <x v="103"/>
    <x v="0"/>
  </r>
  <r>
    <s v="Jessie"/>
    <x v="103"/>
    <x v="0"/>
  </r>
  <r>
    <s v="Jessie"/>
    <x v="103"/>
    <x v="0"/>
  </r>
  <r>
    <s v="Aurégane"/>
    <x v="104"/>
    <x v="0"/>
  </r>
  <r>
    <s v="V"/>
    <x v="56"/>
    <x v="0"/>
  </r>
  <r>
    <s v="M"/>
    <x v="36"/>
    <x v="2"/>
  </r>
  <r>
    <s v="Djamila"/>
    <x v="3"/>
    <x v="0"/>
  </r>
  <r>
    <s v="Francoise"/>
    <x v="105"/>
    <x v="1"/>
  </r>
  <r>
    <s v="Anaïs"/>
    <x v="12"/>
    <x v="2"/>
  </r>
  <r>
    <s v="Emmanuelle"/>
    <x v="106"/>
    <x v="2"/>
  </r>
  <r>
    <s v="Véronique"/>
    <x v="42"/>
    <x v="2"/>
  </r>
  <r>
    <s v="Emmanuelle"/>
    <x v="106"/>
    <x v="2"/>
  </r>
  <r>
    <s v="Kenza"/>
    <x v="107"/>
    <x v="0"/>
  </r>
  <r>
    <s v="Jenny"/>
    <x v="85"/>
    <x v="3"/>
  </r>
  <r>
    <s v="V"/>
    <x v="56"/>
    <x v="0"/>
  </r>
  <r>
    <s v="Chantal"/>
    <x v="108"/>
    <x v="1"/>
  </r>
  <r>
    <s v="Fanny"/>
    <x v="70"/>
    <x v="3"/>
  </r>
  <r>
    <s v="Clea"/>
    <x v="109"/>
    <x v="3"/>
  </r>
  <r>
    <s v="Estelle"/>
    <x v="38"/>
    <x v="3"/>
  </r>
  <r>
    <s v="Clara"/>
    <x v="110"/>
    <x v="2"/>
  </r>
  <r>
    <s v="Cyrille"/>
    <x v="111"/>
    <x v="3"/>
  </r>
  <r>
    <s v="Anaïs"/>
    <x v="12"/>
    <x v="2"/>
  </r>
  <r>
    <s v="Judith"/>
    <x v="19"/>
    <x v="3"/>
  </r>
  <r>
    <s v="Sylla"/>
    <x v="2"/>
    <x v="2"/>
  </r>
  <r>
    <s v="Celine"/>
    <x v="15"/>
    <x v="3"/>
  </r>
  <r>
    <s v="Evelyne"/>
    <x v="61"/>
    <x v="0"/>
  </r>
  <r>
    <s v="Véronique"/>
    <x v="42"/>
    <x v="2"/>
  </r>
  <r>
    <s v="M"/>
    <x v="36"/>
    <x v="2"/>
  </r>
  <r>
    <s v="Cyrille"/>
    <x v="111"/>
    <x v="3"/>
  </r>
  <r>
    <s v="Murielle"/>
    <x v="14"/>
    <x v="0"/>
  </r>
  <r>
    <s v="Edwige"/>
    <x v="18"/>
    <x v="3"/>
  </r>
  <r>
    <s v="Zohra"/>
    <x v="71"/>
    <x v="2"/>
  </r>
  <r>
    <s v="Cyrille"/>
    <x v="111"/>
    <x v="3"/>
  </r>
  <r>
    <s v="Kenza"/>
    <x v="107"/>
    <x v="0"/>
  </r>
  <r>
    <s v="Mikael"/>
    <x v="112"/>
    <x v="0"/>
  </r>
  <r>
    <s v="Guillemette"/>
    <x v="8"/>
    <x v="1"/>
  </r>
  <r>
    <s v="Morgane"/>
    <x v="81"/>
    <x v="0"/>
  </r>
  <r>
    <s v="Erika"/>
    <x v="46"/>
    <x v="3"/>
  </r>
  <r>
    <s v="Marion"/>
    <x v="113"/>
    <x v="0"/>
  </r>
  <r>
    <s v="Christine"/>
    <x v="114"/>
    <x v="2"/>
  </r>
  <r>
    <s v="Diana"/>
    <x v="89"/>
    <x v="0"/>
  </r>
  <r>
    <s v="Djamila"/>
    <x v="3"/>
    <x v="0"/>
  </r>
  <r>
    <s v="Cecile"/>
    <x v="11"/>
    <x v="0"/>
  </r>
  <r>
    <s v="Cyrille"/>
    <x v="111"/>
    <x v="3"/>
  </r>
  <r>
    <s v="Djamila"/>
    <x v="3"/>
    <x v="0"/>
  </r>
  <r>
    <s v="Amandine"/>
    <x v="115"/>
    <x v="1"/>
  </r>
  <r>
    <s v="Meghane"/>
    <x v="37"/>
    <x v="0"/>
  </r>
  <r>
    <s v="B"/>
    <x v="6"/>
    <x v="0"/>
  </r>
  <r>
    <s v="Terence"/>
    <x v="116"/>
    <x v="0"/>
  </r>
  <r>
    <s v="Djamila"/>
    <x v="3"/>
    <x v="0"/>
  </r>
  <r>
    <s v="Nelly"/>
    <x v="117"/>
    <x v="2"/>
  </r>
  <r>
    <s v="Emmanuelle"/>
    <x v="106"/>
    <x v="2"/>
  </r>
  <r>
    <s v="Chrystelle"/>
    <x v="118"/>
    <x v="2"/>
  </r>
  <r>
    <s v="Jenny"/>
    <x v="10"/>
    <x v="1"/>
  </r>
  <r>
    <s v="Emmanuelle"/>
    <x v="106"/>
    <x v="2"/>
  </r>
  <r>
    <s v="Judith"/>
    <x v="19"/>
    <x v="3"/>
  </r>
  <r>
    <s v="Anaïs"/>
    <x v="12"/>
    <x v="2"/>
  </r>
  <r>
    <s v="Justine"/>
    <x v="119"/>
    <x v="2"/>
  </r>
  <r>
    <s v="Nogueline"/>
    <x v="120"/>
    <x v="0"/>
  </r>
  <r>
    <s v="Vanessa"/>
    <x v="121"/>
    <x v="2"/>
  </r>
  <r>
    <s v="A"/>
    <x v="53"/>
    <x v="2"/>
  </r>
  <r>
    <s v="Patricia"/>
    <x v="122"/>
    <x v="3"/>
  </r>
  <r>
    <s v="Margaux"/>
    <x v="123"/>
    <x v="0"/>
  </r>
  <r>
    <s v="Zohra"/>
    <x v="71"/>
    <x v="2"/>
  </r>
  <r>
    <s v="Valérie"/>
    <x v="124"/>
    <x v="0"/>
  </r>
  <r>
    <s v="P"/>
    <x v="125"/>
    <x v="2"/>
  </r>
  <r>
    <s v="Celine"/>
    <x v="60"/>
    <x v="1"/>
  </r>
  <r>
    <s v="Nogueline"/>
    <x v="120"/>
    <x v="0"/>
  </r>
  <r>
    <s v="Clara"/>
    <x v="110"/>
    <x v="2"/>
  </r>
  <r>
    <s v="P"/>
    <x v="125"/>
    <x v="2"/>
  </r>
  <r>
    <s v="G"/>
    <x v="21"/>
    <x v="3"/>
  </r>
  <r>
    <s v="Maira"/>
    <x v="71"/>
    <x v="2"/>
  </r>
  <r>
    <s v="Roseline"/>
    <x v="17"/>
    <x v="0"/>
  </r>
  <r>
    <s v="Roseline"/>
    <x v="17"/>
    <x v="0"/>
  </r>
  <r>
    <s v="Judith"/>
    <x v="19"/>
    <x v="3"/>
  </r>
  <r>
    <s v="Pms"/>
    <x v="126"/>
    <x v="3"/>
  </r>
  <r>
    <s v="Gaelle"/>
    <x v="127"/>
    <x v="1"/>
  </r>
  <r>
    <s v="Sophie"/>
    <x v="26"/>
    <x v="0"/>
  </r>
  <r>
    <s v="Corinne"/>
    <x v="88"/>
    <x v="2"/>
  </r>
  <r>
    <s v="Elodie"/>
    <x v="128"/>
    <x v="3"/>
  </r>
  <r>
    <s v="Sylla"/>
    <x v="2"/>
    <x v="2"/>
  </r>
  <r>
    <s v="Carine"/>
    <x v="77"/>
    <x v="2"/>
  </r>
  <r>
    <s v="Delphine"/>
    <x v="32"/>
    <x v="0"/>
  </r>
  <r>
    <s v="Barbara"/>
    <x v="129"/>
    <x v="2"/>
  </r>
  <r>
    <s v="Laetitia"/>
    <x v="130"/>
    <x v="2"/>
  </r>
  <r>
    <s v="Murielle"/>
    <x v="14"/>
    <x v="0"/>
  </r>
  <r>
    <s v="Djamila"/>
    <x v="3"/>
    <x v="0"/>
  </r>
  <r>
    <s v="Véronique"/>
    <x v="42"/>
    <x v="2"/>
  </r>
  <r>
    <s v="Maeva"/>
    <x v="80"/>
    <x v="0"/>
  </r>
  <r>
    <s v="Damien"/>
    <x v="25"/>
    <x v="3"/>
  </r>
  <r>
    <s v="Christophe"/>
    <x v="131"/>
    <x v="1"/>
  </r>
  <r>
    <s v="P"/>
    <x v="125"/>
    <x v="2"/>
  </r>
  <r>
    <s v="Lisa"/>
    <x v="96"/>
    <x v="0"/>
  </r>
  <r>
    <s v="Marjorie"/>
    <x v="132"/>
    <x v="3"/>
  </r>
  <r>
    <s v="Louise"/>
    <x v="58"/>
    <x v="0"/>
  </r>
  <r>
    <s v="Aurore"/>
    <x v="102"/>
    <x v="2"/>
  </r>
  <r>
    <s v="Valerie"/>
    <x v="47"/>
    <x v="2"/>
  </r>
  <r>
    <s v="Joelle"/>
    <x v="133"/>
    <x v="0"/>
  </r>
  <r>
    <s v="Louise"/>
    <x v="58"/>
    <x v="0"/>
  </r>
  <r>
    <s v="Clara"/>
    <x v="110"/>
    <x v="2"/>
  </r>
  <r>
    <s v="Louise"/>
    <x v="58"/>
    <x v="0"/>
  </r>
  <r>
    <s v="Nogueline"/>
    <x v="120"/>
    <x v="0"/>
  </r>
  <r>
    <s v="Régine"/>
    <x v="134"/>
    <x v="0"/>
  </r>
  <r>
    <s v="Louise"/>
    <x v="58"/>
    <x v="0"/>
  </r>
  <r>
    <s v="Sophie"/>
    <x v="26"/>
    <x v="0"/>
  </r>
  <r>
    <s v="V"/>
    <x v="56"/>
    <x v="0"/>
  </r>
  <r>
    <s v="Cyrille"/>
    <x v="111"/>
    <x v="3"/>
  </r>
  <r>
    <s v="Emilie"/>
    <x v="135"/>
    <x v="0"/>
  </r>
  <r>
    <s v="Alicia"/>
    <x v="136"/>
    <x v="2"/>
  </r>
  <r>
    <s v="Aurégane"/>
    <x v="104"/>
    <x v="0"/>
  </r>
  <r>
    <s v="Sabine"/>
    <x v="59"/>
    <x v="1"/>
  </r>
  <r>
    <s v="B"/>
    <x v="6"/>
    <x v="0"/>
  </r>
  <r>
    <s v="Louise"/>
    <x v="58"/>
    <x v="0"/>
  </r>
  <r>
    <s v="Anaïs"/>
    <x v="12"/>
    <x v="2"/>
  </r>
  <r>
    <s v="Véronique"/>
    <x v="42"/>
    <x v="2"/>
  </r>
  <r>
    <s v="Vanessa"/>
    <x v="66"/>
    <x v="1"/>
  </r>
  <r>
    <s v="Jean-marc"/>
    <x v="73"/>
    <x v="0"/>
  </r>
  <r>
    <s v="Emmanuelle"/>
    <x v="106"/>
    <x v="2"/>
  </r>
  <r>
    <s v="Louise"/>
    <x v="58"/>
    <x v="0"/>
  </r>
  <r>
    <s v="Chrystelle"/>
    <x v="118"/>
    <x v="2"/>
  </r>
  <r>
    <s v="Kenza"/>
    <x v="137"/>
    <x v="0"/>
  </r>
  <r>
    <s v="Justine"/>
    <x v="119"/>
    <x v="2"/>
  </r>
  <r>
    <s v="Valérie"/>
    <x v="124"/>
    <x v="0"/>
  </r>
  <r>
    <s v="P"/>
    <x v="125"/>
    <x v="2"/>
  </r>
  <r>
    <s v="Clara"/>
    <x v="110"/>
    <x v="2"/>
  </r>
  <r>
    <s v="A"/>
    <x v="53"/>
    <x v="0"/>
  </r>
  <r>
    <s v="P"/>
    <x v="125"/>
    <x v="2"/>
  </r>
  <r>
    <s v="Louise"/>
    <x v="58"/>
    <x v="0"/>
  </r>
  <r>
    <s v="Lisa"/>
    <x v="96"/>
    <x v="0"/>
  </r>
  <r>
    <s v="Nogueline"/>
    <x v="120"/>
    <x v="0"/>
  </r>
  <r>
    <s v="Louise"/>
    <x v="58"/>
    <x v="0"/>
  </r>
  <r>
    <s v="Laure"/>
    <x v="100"/>
    <x v="2"/>
  </r>
  <r>
    <s v="Sylla"/>
    <x v="2"/>
    <x v="2"/>
  </r>
  <r>
    <s v="Vanessa"/>
    <x v="66"/>
    <x v="1"/>
  </r>
  <r>
    <s v="Vanessa"/>
    <x v="121"/>
    <x v="2"/>
  </r>
  <r>
    <s v="B"/>
    <x v="6"/>
    <x v="0"/>
  </r>
  <r>
    <s v="Estelle"/>
    <x v="138"/>
    <x v="2"/>
  </r>
  <r>
    <s v="A"/>
    <x v="53"/>
    <x v="2"/>
  </r>
  <r>
    <s v="Evelyne"/>
    <x v="61"/>
    <x v="2"/>
  </r>
  <r>
    <s v="Edith"/>
    <x v="68"/>
    <x v="0"/>
  </r>
  <r>
    <s v="Murielle"/>
    <x v="14"/>
    <x v="0"/>
  </r>
  <r>
    <s v="Aurégane"/>
    <x v="104"/>
    <x v="0"/>
  </r>
  <r>
    <s v="Sarah"/>
    <x v="39"/>
    <x v="1"/>
  </r>
  <r>
    <s v="Edwige"/>
    <x v="18"/>
    <x v="3"/>
  </r>
  <r>
    <s v="Amelie"/>
    <x v="139"/>
    <x v="2"/>
  </r>
  <r>
    <s v="Melanie"/>
    <x v="30"/>
    <x v="2"/>
  </r>
  <r>
    <s v="Louise"/>
    <x v="58"/>
    <x v="0"/>
  </r>
  <r>
    <s v="A"/>
    <x v="53"/>
    <x v="0"/>
  </r>
  <r>
    <s v="E"/>
    <x v="86"/>
    <x v="0"/>
  </r>
  <r>
    <s v="E"/>
    <x v="86"/>
    <x v="0"/>
  </r>
  <r>
    <s v="Valérie"/>
    <x v="124"/>
    <x v="0"/>
  </r>
  <r>
    <s v="Estelle"/>
    <x v="40"/>
    <x v="2"/>
  </r>
  <r>
    <s v="Judith"/>
    <x v="19"/>
    <x v="3"/>
  </r>
  <r>
    <s v="P"/>
    <x v="125"/>
    <x v="2"/>
  </r>
  <r>
    <s v="Terence"/>
    <x v="116"/>
    <x v="0"/>
  </r>
  <r>
    <s v="Judith"/>
    <x v="19"/>
    <x v="3"/>
  </r>
  <r>
    <s v="Jessie"/>
    <x v="103"/>
    <x v="0"/>
  </r>
  <r>
    <s v="Melanie"/>
    <x v="30"/>
    <x v="2"/>
  </r>
  <r>
    <s v="Sonia"/>
    <x v="140"/>
    <x v="3"/>
  </r>
  <r>
    <s v="Amandine"/>
    <x v="141"/>
    <x v="2"/>
  </r>
  <r>
    <s v="Nogueline"/>
    <x v="120"/>
    <x v="0"/>
  </r>
  <r>
    <s v="Graziella"/>
    <x v="74"/>
    <x v="1"/>
  </r>
  <r>
    <s v="Judith"/>
    <x v="19"/>
    <x v="3"/>
  </r>
  <r>
    <s v="Marie"/>
    <x v="142"/>
    <x v="3"/>
  </r>
  <r>
    <s v="Judith"/>
    <x v="19"/>
    <x v="3"/>
  </r>
  <r>
    <s v="Valérie"/>
    <x v="124"/>
    <x v="0"/>
  </r>
  <r>
    <s v="Damien"/>
    <x v="25"/>
    <x v="3"/>
  </r>
  <r>
    <s v="Gérard"/>
    <x v="21"/>
    <x v="3"/>
  </r>
  <r>
    <s v="Julie"/>
    <x v="69"/>
    <x v="0"/>
  </r>
  <r>
    <s v="Lisa"/>
    <x v="143"/>
    <x v="0"/>
  </r>
  <r>
    <s v="Celine"/>
    <x v="15"/>
    <x v="3"/>
  </r>
  <r>
    <s v="Valérie"/>
    <x v="124"/>
    <x v="0"/>
  </r>
  <r>
    <s v="Valérie"/>
    <x v="47"/>
    <x v="2"/>
  </r>
  <r>
    <s v="Judith"/>
    <x v="19"/>
    <x v="3"/>
  </r>
  <r>
    <s v="Murielle"/>
    <x v="14"/>
    <x v="0"/>
  </r>
  <r>
    <s v="Christelle"/>
    <x v="72"/>
    <x v="1"/>
  </r>
  <r>
    <s v="Peter"/>
    <x v="125"/>
    <x v="2"/>
  </r>
  <r>
    <s v="Damien"/>
    <x v="25"/>
    <x v="3"/>
  </r>
  <r>
    <s v="Stephanie"/>
    <x v="144"/>
    <x v="1"/>
  </r>
  <r>
    <s v="Kenza"/>
    <x v="137"/>
    <x v="0"/>
  </r>
  <r>
    <s v="Jenny"/>
    <x v="85"/>
    <x v="3"/>
  </r>
  <r>
    <s v="Cyrille"/>
    <x v="111"/>
    <x v="3"/>
  </r>
  <r>
    <s v="Nogueline"/>
    <x v="120"/>
    <x v="0"/>
  </r>
  <r>
    <s v="Sabine"/>
    <x v="59"/>
    <x v="1"/>
  </r>
  <r>
    <s v="Claire"/>
    <x v="114"/>
    <x v="3"/>
  </r>
  <r>
    <s v="Celine"/>
    <x v="15"/>
    <x v="3"/>
  </r>
  <r>
    <s v="Clara"/>
    <x v="110"/>
    <x v="2"/>
  </r>
  <r>
    <s v="Anais"/>
    <x v="12"/>
    <x v="2"/>
  </r>
  <r>
    <s v="Peter"/>
    <x v="125"/>
    <x v="2"/>
  </r>
  <r>
    <s v="Celine"/>
    <x v="15"/>
    <x v="3"/>
  </r>
  <r>
    <s v="Laetitia"/>
    <x v="145"/>
    <x v="1"/>
  </r>
  <r>
    <s v="Christine"/>
    <x v="114"/>
    <x v="2"/>
  </r>
  <r>
    <s v="Corinne"/>
    <x v="88"/>
    <x v="2"/>
  </r>
  <r>
    <s v="Véronique"/>
    <x v="42"/>
    <x v="2"/>
  </r>
  <r>
    <s v="Murielle"/>
    <x v="14"/>
    <x v="0"/>
  </r>
  <r>
    <s v="Johanna"/>
    <x v="67"/>
    <x v="3"/>
  </r>
  <r>
    <s v="Valérie"/>
    <x v="124"/>
    <x v="0"/>
  </r>
  <r>
    <s v="Sabine"/>
    <x v="59"/>
    <x v="1"/>
  </r>
  <r>
    <s v="Celine"/>
    <x v="15"/>
    <x v="3"/>
  </r>
  <r>
    <s v="Ludivine"/>
    <x v="16"/>
    <x v="3"/>
  </r>
  <r>
    <s v="Lea"/>
    <x v="146"/>
    <x v="0"/>
  </r>
  <r>
    <s v="Evelyne"/>
    <x v="61"/>
    <x v="0"/>
  </r>
  <r>
    <s v="Béatrice"/>
    <x v="147"/>
    <x v="1"/>
  </r>
  <r>
    <s v="Judith"/>
    <x v="19"/>
    <x v="3"/>
  </r>
  <r>
    <s v="Christine"/>
    <x v="148"/>
    <x v="1"/>
  </r>
  <r>
    <s v="Catherine"/>
    <x v="149"/>
    <x v="3"/>
  </r>
  <r>
    <s v="Anaïs"/>
    <x v="12"/>
    <x v="2"/>
  </r>
  <r>
    <s v="Edith"/>
    <x v="68"/>
    <x v="0"/>
  </r>
  <r>
    <s v="Sandrine"/>
    <x v="150"/>
    <x v="3"/>
  </r>
  <r>
    <s v="Marjorie"/>
    <x v="132"/>
    <x v="3"/>
  </r>
  <r>
    <s v="Diana"/>
    <x v="89"/>
    <x v="0"/>
  </r>
  <r>
    <s v="V"/>
    <x v="56"/>
    <x v="0"/>
  </r>
  <r>
    <s v="Mélanie"/>
    <x v="30"/>
    <x v="2"/>
  </r>
  <r>
    <s v="Kenza"/>
    <x v="137"/>
    <x v="0"/>
  </r>
  <r>
    <s v="Pauline"/>
    <x v="87"/>
    <x v="0"/>
  </r>
  <r>
    <s v="Mélanie"/>
    <x v="30"/>
    <x v="2"/>
  </r>
  <r>
    <s v="Céline"/>
    <x v="63"/>
    <x v="2"/>
  </r>
  <r>
    <s v="Christophe"/>
    <x v="131"/>
    <x v="1"/>
  </r>
  <r>
    <s v="Caroline"/>
    <x v="93"/>
    <x v="2"/>
  </r>
  <r>
    <s v="Maeva"/>
    <x v="80"/>
    <x v="0"/>
  </r>
  <r>
    <s v="Judith"/>
    <x v="19"/>
    <x v="3"/>
  </r>
  <r>
    <s v="Christine"/>
    <x v="114"/>
    <x v="2"/>
  </r>
  <r>
    <s v="Magali"/>
    <x v="35"/>
    <x v="0"/>
  </r>
  <r>
    <s v="Jourdain"/>
    <x v="151"/>
    <x v="0"/>
  </r>
  <r>
    <s v="Emilie"/>
    <x v="135"/>
    <x v="0"/>
  </r>
  <r>
    <s v="Flora"/>
    <x v="34"/>
    <x v="1"/>
  </r>
  <r>
    <s v="Stéphanie"/>
    <x v="144"/>
    <x v="1"/>
  </r>
  <r>
    <s v="Delphine"/>
    <x v="152"/>
    <x v="2"/>
  </r>
  <r>
    <s v="Judith"/>
    <x v="19"/>
    <x v="3"/>
  </r>
  <r>
    <s v="Edith"/>
    <x v="68"/>
    <x v="0"/>
  </r>
  <r>
    <s v="Celine"/>
    <x v="15"/>
    <x v="3"/>
  </r>
  <r>
    <s v="Valerie"/>
    <x v="124"/>
    <x v="0"/>
  </r>
  <r>
    <s v="Vanessa"/>
    <x v="29"/>
    <x v="3"/>
  </r>
  <r>
    <s v="Valérie"/>
    <x v="47"/>
    <x v="2"/>
  </r>
  <r>
    <s v="Judith"/>
    <x v="19"/>
    <x v="3"/>
  </r>
  <r>
    <s v="Judith"/>
    <x v="19"/>
    <x v="3"/>
  </r>
  <r>
    <s v="Delphine"/>
    <x v="32"/>
    <x v="0"/>
  </r>
  <r>
    <s v="Meghezzi"/>
    <x v="153"/>
    <x v="0"/>
  </r>
  <r>
    <s v="B"/>
    <x v="6"/>
    <x v="0"/>
  </r>
  <r>
    <s v="B"/>
    <x v="6"/>
    <x v="0"/>
  </r>
  <r>
    <s v="Melanie"/>
    <x v="30"/>
    <x v="2"/>
  </r>
  <r>
    <s v="Elodie"/>
    <x v="79"/>
    <x v="0"/>
  </r>
  <r>
    <s v="Marion"/>
    <x v="154"/>
    <x v="2"/>
  </r>
  <r>
    <s v="Cyrille"/>
    <x v="111"/>
    <x v="3"/>
  </r>
  <r>
    <s v="Magali"/>
    <x v="35"/>
    <x v="0"/>
  </r>
  <r>
    <s v="Celine"/>
    <x v="15"/>
    <x v="3"/>
  </r>
  <r>
    <s v="Emmanuelle"/>
    <x v="106"/>
    <x v="2"/>
  </r>
  <r>
    <s v="Sophie"/>
    <x v="26"/>
    <x v="0"/>
  </r>
  <r>
    <s v="Sophie"/>
    <x v="26"/>
    <x v="0"/>
  </r>
  <r>
    <s v="Christelle"/>
    <x v="72"/>
    <x v="1"/>
  </r>
  <r>
    <s v="Christelle"/>
    <x v="72"/>
    <x v="1"/>
  </r>
  <r>
    <s v="Celine"/>
    <x v="15"/>
    <x v="3"/>
  </r>
  <r>
    <s v="Nelly"/>
    <x v="117"/>
    <x v="2"/>
  </r>
  <r>
    <s v="Caroline"/>
    <x v="93"/>
    <x v="2"/>
  </r>
  <r>
    <s v="Valérie"/>
    <x v="124"/>
    <x v="0"/>
  </r>
  <r>
    <s v="Anaïs"/>
    <x v="12"/>
    <x v="2"/>
  </r>
  <r>
    <s v="Edwige"/>
    <x v="18"/>
    <x v="3"/>
  </r>
  <r>
    <s v="Perrine"/>
    <x v="83"/>
    <x v="2"/>
  </r>
  <r>
    <s v="Caroline"/>
    <x v="93"/>
    <x v="2"/>
  </r>
  <r>
    <s v="Edwige"/>
    <x v="18"/>
    <x v="3"/>
  </r>
  <r>
    <s v="Valérie"/>
    <x v="124"/>
    <x v="0"/>
  </r>
  <r>
    <s v="Anita"/>
    <x v="155"/>
    <x v="2"/>
  </r>
  <r>
    <s v="Damien"/>
    <x v="25"/>
    <x v="3"/>
  </r>
  <r>
    <s v="Sophie"/>
    <x v="26"/>
    <x v="0"/>
  </r>
  <r>
    <s v="Annesophie"/>
    <x v="156"/>
    <x v="3"/>
  </r>
  <r>
    <s v="Lea"/>
    <x v="146"/>
    <x v="0"/>
  </r>
  <r>
    <s v="Celine"/>
    <x v="15"/>
    <x v="3"/>
  </r>
  <r>
    <s v="Celine"/>
    <x v="15"/>
    <x v="3"/>
  </r>
  <r>
    <s v="Anais"/>
    <x v="12"/>
    <x v="2"/>
  </r>
  <r>
    <s v="Judith"/>
    <x v="19"/>
    <x v="3"/>
  </r>
  <r>
    <s v="Judith"/>
    <x v="19"/>
    <x v="3"/>
  </r>
  <r>
    <s v="Anais"/>
    <x v="12"/>
    <x v="2"/>
  </r>
  <r>
    <s v="Marie"/>
    <x v="54"/>
    <x v="2"/>
  </r>
  <r>
    <s v="Solene"/>
    <x v="95"/>
    <x v="0"/>
  </r>
  <r>
    <s v="Lisa"/>
    <x v="96"/>
    <x v="0"/>
  </r>
  <r>
    <s v="Lisa"/>
    <x v="96"/>
    <x v="0"/>
  </r>
  <r>
    <s v="Clara"/>
    <x v="110"/>
    <x v="2"/>
  </r>
  <r>
    <s v="L"/>
    <x v="48"/>
    <x v="0"/>
  </r>
  <r>
    <s v="Valérie"/>
    <x v="124"/>
    <x v="0"/>
  </r>
  <r>
    <s v="Solène"/>
    <x v="157"/>
    <x v="0"/>
  </r>
  <r>
    <s v="Salomé"/>
    <x v="13"/>
    <x v="0"/>
  </r>
  <r>
    <s v="Aline"/>
    <x v="9"/>
    <x v="3"/>
  </r>
  <r>
    <s v="Christine"/>
    <x v="114"/>
    <x v="2"/>
  </r>
  <r>
    <s v="Manon"/>
    <x v="91"/>
    <x v="0"/>
  </r>
  <r>
    <s v="Valerie"/>
    <x v="56"/>
    <x v="0"/>
  </r>
  <r>
    <s v="Melanie"/>
    <x v="158"/>
    <x v="0"/>
  </r>
  <r>
    <s v="Cecile"/>
    <x v="11"/>
    <x v="0"/>
  </r>
  <r>
    <s v="Melanie"/>
    <x v="159"/>
    <x v="1"/>
  </r>
  <r>
    <s v="Francoise"/>
    <x v="105"/>
    <x v="1"/>
  </r>
  <r>
    <s v="Damien"/>
    <x v="25"/>
    <x v="3"/>
  </r>
  <r>
    <s v="Valérie"/>
    <x v="124"/>
    <x v="0"/>
  </r>
  <r>
    <s v="A"/>
    <x v="53"/>
    <x v="2"/>
  </r>
  <r>
    <s v="A"/>
    <x v="53"/>
    <x v="2"/>
  </r>
  <r>
    <s v="G"/>
    <x v="21"/>
    <x v="0"/>
  </r>
  <r>
    <s v="Lydie"/>
    <x v="160"/>
    <x v="3"/>
  </r>
  <r>
    <s v="Fanny"/>
    <x v="50"/>
    <x v="0"/>
  </r>
  <r>
    <s v="Véronique"/>
    <x v="42"/>
    <x v="2"/>
  </r>
  <r>
    <s v="Maeva"/>
    <x v="80"/>
    <x v="0"/>
  </r>
  <r>
    <s v="A"/>
    <x v="53"/>
    <x v="0"/>
  </r>
  <r>
    <s v="C"/>
    <x v="94"/>
    <x v="0"/>
  </r>
  <r>
    <s v="Emma"/>
    <x v="161"/>
    <x v="0"/>
  </r>
  <r>
    <s v="Marina"/>
    <x v="162"/>
    <x v="2"/>
  </r>
  <r>
    <s v="Marina"/>
    <x v="162"/>
    <x v="2"/>
  </r>
  <r>
    <s v="Damien"/>
    <x v="25"/>
    <x v="3"/>
  </r>
  <r>
    <s v="Salomé"/>
    <x v="13"/>
    <x v="0"/>
  </r>
  <r>
    <s v="Valerie"/>
    <x v="124"/>
    <x v="0"/>
  </r>
  <r>
    <s v="Valérie"/>
    <x v="124"/>
    <x v="0"/>
  </r>
  <r>
    <s v="Sophie"/>
    <x v="26"/>
    <x v="0"/>
  </r>
  <r>
    <s v="Sandrine"/>
    <x v="150"/>
    <x v="3"/>
  </r>
  <r>
    <s v="Sabine"/>
    <x v="59"/>
    <x v="1"/>
  </r>
  <r>
    <s v="Carole"/>
    <x v="90"/>
    <x v="0"/>
  </r>
  <r>
    <s v="Céline"/>
    <x v="101"/>
    <x v="1"/>
  </r>
  <r>
    <s v="Carine"/>
    <x v="77"/>
    <x v="2"/>
  </r>
  <r>
    <s v="Celine"/>
    <x v="15"/>
    <x v="3"/>
  </r>
  <r>
    <s v="Magalie"/>
    <x v="92"/>
    <x v="1"/>
  </r>
  <r>
    <s v="A"/>
    <x v="53"/>
    <x v="0"/>
  </r>
  <r>
    <s v="Vanessa"/>
    <x v="121"/>
    <x v="2"/>
  </r>
  <r>
    <s v="Zohra"/>
    <x v="71"/>
    <x v="2"/>
  </r>
  <r>
    <s v="Aurore"/>
    <x v="102"/>
    <x v="2"/>
  </r>
  <r>
    <s v="Valérie"/>
    <x v="124"/>
    <x v="0"/>
  </r>
  <r>
    <s v="Amandine"/>
    <x v="141"/>
    <x v="2"/>
  </r>
  <r>
    <s v="Nathalie"/>
    <x v="163"/>
    <x v="2"/>
  </r>
  <r>
    <s v="Véronique"/>
    <x v="42"/>
    <x v="2"/>
  </r>
  <r>
    <s v="Marina"/>
    <x v="162"/>
    <x v="2"/>
  </r>
  <r>
    <s v="Sylla"/>
    <x v="164"/>
    <x v="2"/>
  </r>
  <r>
    <s v="Marlène"/>
    <x v="57"/>
    <x v="2"/>
  </r>
  <r>
    <s v="Sylla"/>
    <x v="2"/>
    <x v="2"/>
  </r>
  <r>
    <s v="Anais"/>
    <x v="12"/>
    <x v="2"/>
  </r>
  <r>
    <s v="Estelle"/>
    <x v="40"/>
    <x v="2"/>
  </r>
  <r>
    <s v="Caroline"/>
    <x v="165"/>
    <x v="2"/>
  </r>
  <r>
    <s v="Marie-camille"/>
    <x v="166"/>
    <x v="2"/>
  </r>
  <r>
    <s v="Mandy"/>
    <x v="167"/>
    <x v="2"/>
  </r>
  <r>
    <s v="Estelle"/>
    <x v="138"/>
    <x v="2"/>
  </r>
  <r>
    <s v="Clara"/>
    <x v="110"/>
    <x v="2"/>
  </r>
  <r>
    <s v="Céleste"/>
    <x v="168"/>
    <x v="2"/>
  </r>
  <r>
    <s v="Sylla"/>
    <x v="2"/>
    <x v="2"/>
  </r>
  <r>
    <s v="Caroline"/>
    <x v="93"/>
    <x v="2"/>
  </r>
  <r>
    <s v="Caroline"/>
    <x v="93"/>
    <x v="2"/>
  </r>
  <r>
    <s v="Laurie"/>
    <x v="49"/>
    <x v="2"/>
  </r>
  <r>
    <s v="Peter"/>
    <x v="125"/>
    <x v="2"/>
  </r>
  <r>
    <s v="Mikael"/>
    <x v="112"/>
    <x v="0"/>
  </r>
  <r>
    <s v="Sophie"/>
    <x v="26"/>
    <x v="0"/>
  </r>
  <r>
    <s v="Alicia"/>
    <x v="169"/>
    <x v="0"/>
  </r>
  <r>
    <s v="Caroline"/>
    <x v="93"/>
    <x v="2"/>
  </r>
  <r>
    <s v="Maeva"/>
    <x v="80"/>
    <x v="0"/>
  </r>
  <r>
    <s v="Christelle"/>
    <x v="170"/>
    <x v="2"/>
  </r>
  <r>
    <s v="Anais"/>
    <x v="12"/>
    <x v="2"/>
  </r>
  <r>
    <s v="Valérie"/>
    <x v="124"/>
    <x v="0"/>
  </r>
  <r>
    <s v="Céline"/>
    <x v="63"/>
    <x v="2"/>
  </r>
  <r>
    <s v="Jourdain"/>
    <x v="151"/>
    <x v="0"/>
  </r>
  <r>
    <s v="Karine"/>
    <x v="171"/>
    <x v="2"/>
  </r>
  <r>
    <s v="Anais"/>
    <x v="12"/>
    <x v="2"/>
  </r>
  <r>
    <s v="Bakhta"/>
    <x v="52"/>
    <x v="2"/>
  </r>
  <r>
    <s v="Anais"/>
    <x v="12"/>
    <x v="2"/>
  </r>
  <r>
    <s v="Edwige"/>
    <x v="172"/>
    <x v="2"/>
  </r>
  <r>
    <s v="Peter"/>
    <x v="125"/>
    <x v="2"/>
  </r>
  <r>
    <s v="Céline"/>
    <x v="63"/>
    <x v="2"/>
  </r>
  <r>
    <s v="Marina"/>
    <x v="162"/>
    <x v="2"/>
  </r>
  <r>
    <s v="Caroline"/>
    <x v="165"/>
    <x v="2"/>
  </r>
  <r>
    <s v="Sophie"/>
    <x v="44"/>
    <x v="2"/>
  </r>
  <r>
    <s v="Anais"/>
    <x v="12"/>
    <x v="2"/>
  </r>
  <r>
    <s v="Mallory"/>
    <x v="173"/>
    <x v="2"/>
  </r>
  <r>
    <s v="Anais"/>
    <x v="12"/>
    <x v="2"/>
  </r>
  <r>
    <s v="Anais"/>
    <x v="12"/>
    <x v="2"/>
  </r>
  <r>
    <s v="A"/>
    <x v="53"/>
    <x v="2"/>
  </r>
  <r>
    <s v="A"/>
    <x v="53"/>
    <x v="2"/>
  </r>
  <r>
    <s v="A"/>
    <x v="53"/>
    <x v="2"/>
  </r>
  <r>
    <s v="Elea"/>
    <x v="174"/>
    <x v="3"/>
  </r>
  <r>
    <s v="Stéphanie"/>
    <x v="175"/>
    <x v="0"/>
  </r>
  <r>
    <s v="Nathalie"/>
    <x v="176"/>
    <x v="1"/>
  </r>
  <r>
    <s v="V"/>
    <x v="56"/>
    <x v="0"/>
  </r>
  <r>
    <s v="Leslie"/>
    <x v="45"/>
    <x v="0"/>
  </r>
  <r>
    <s v="Valérie"/>
    <x v="124"/>
    <x v="0"/>
  </r>
  <r>
    <s v="Sabine"/>
    <x v="177"/>
    <x v="1"/>
  </r>
  <r>
    <s v="Maeva"/>
    <x v="80"/>
    <x v="0"/>
  </r>
  <r>
    <s v="Amandine"/>
    <x v="115"/>
    <x v="1"/>
  </r>
  <r>
    <s v="Cyrille"/>
    <x v="111"/>
    <x v="3"/>
  </r>
  <r>
    <s v="Valérie"/>
    <x v="124"/>
    <x v="0"/>
  </r>
  <r>
    <s v="Nadine"/>
    <x v="18"/>
    <x v="3"/>
  </r>
  <r>
    <s v="Cyrille"/>
    <x v="111"/>
    <x v="3"/>
  </r>
  <r>
    <s v="Fabienne"/>
    <x v="178"/>
    <x v="0"/>
  </r>
  <r>
    <s v="Nadine"/>
    <x v="18"/>
    <x v="3"/>
  </r>
  <r>
    <s v="Valérie"/>
    <x v="124"/>
    <x v="0"/>
  </r>
  <r>
    <s v="Carole"/>
    <x v="90"/>
    <x v="0"/>
  </r>
  <r>
    <s v="Bastien"/>
    <x v="6"/>
    <x v="0"/>
  </r>
  <r>
    <s v="Lea"/>
    <x v="146"/>
    <x v="0"/>
  </r>
  <r>
    <s v="Sonia"/>
    <x v="140"/>
    <x v="3"/>
  </r>
  <r>
    <s v="Valérie"/>
    <x v="124"/>
    <x v="0"/>
  </r>
  <r>
    <s v="Anne-cécile"/>
    <x v="179"/>
    <x v="2"/>
  </r>
  <r>
    <m/>
    <x v="180"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7">
  <r>
    <x v="0"/>
  </r>
  <r>
    <x v="0"/>
  </r>
  <r>
    <x v="1"/>
  </r>
  <r>
    <x v="2"/>
  </r>
  <r>
    <x v="2"/>
  </r>
  <r>
    <x v="3"/>
  </r>
  <r>
    <x v="4"/>
  </r>
  <r>
    <x v="5"/>
  </r>
  <r>
    <x v="6"/>
  </r>
  <r>
    <x v="6"/>
  </r>
  <r>
    <x v="6"/>
  </r>
  <r>
    <x v="6"/>
  </r>
  <r>
    <x v="7"/>
  </r>
  <r>
    <x v="7"/>
  </r>
  <r>
    <x v="7"/>
  </r>
  <r>
    <x v="7"/>
  </r>
  <r>
    <x v="7"/>
  </r>
  <r>
    <x v="7"/>
  </r>
  <r>
    <x v="7"/>
  </r>
  <r>
    <x v="8"/>
  </r>
  <r>
    <x v="8"/>
  </r>
  <r>
    <x v="8"/>
  </r>
  <r>
    <x v="9"/>
  </r>
  <r>
    <x v="9"/>
  </r>
  <r>
    <x v="10"/>
  </r>
  <r>
    <x v="10"/>
  </r>
  <r>
    <x v="11"/>
  </r>
  <r>
    <x v="12"/>
  </r>
  <r>
    <x v="12"/>
  </r>
  <r>
    <x v="13"/>
  </r>
  <r>
    <x v="13"/>
  </r>
  <r>
    <x v="14"/>
  </r>
  <r>
    <x v="15"/>
  </r>
  <r>
    <x v="14"/>
  </r>
  <r>
    <x v="16"/>
  </r>
  <r>
    <x v="17"/>
  </r>
  <r>
    <x v="17"/>
  </r>
  <r>
    <x v="15"/>
  </r>
  <r>
    <x v="18"/>
  </r>
  <r>
    <x v="18"/>
  </r>
  <r>
    <x v="18"/>
  </r>
  <r>
    <x v="19"/>
  </r>
  <r>
    <x v="20"/>
  </r>
  <r>
    <x v="20"/>
  </r>
  <r>
    <x v="21"/>
  </r>
  <r>
    <x v="22"/>
  </r>
  <r>
    <x v="22"/>
  </r>
  <r>
    <x v="22"/>
  </r>
  <r>
    <x v="22"/>
  </r>
  <r>
    <x v="22"/>
  </r>
  <r>
    <x v="23"/>
  </r>
  <r>
    <x v="23"/>
  </r>
  <r>
    <x v="24"/>
  </r>
  <r>
    <x v="24"/>
  </r>
  <r>
    <x v="24"/>
  </r>
  <r>
    <x v="24"/>
  </r>
  <r>
    <x v="25"/>
  </r>
  <r>
    <x v="25"/>
  </r>
  <r>
    <x v="25"/>
  </r>
  <r>
    <x v="25"/>
  </r>
  <r>
    <x v="25"/>
  </r>
  <r>
    <x v="26"/>
  </r>
  <r>
    <x v="26"/>
  </r>
  <r>
    <x v="27"/>
  </r>
  <r>
    <x v="27"/>
  </r>
  <r>
    <x v="27"/>
  </r>
  <r>
    <x v="28"/>
  </r>
  <r>
    <x v="28"/>
  </r>
  <r>
    <x v="28"/>
  </r>
  <r>
    <x v="29"/>
  </r>
  <r>
    <x v="30"/>
  </r>
  <r>
    <x v="31"/>
  </r>
  <r>
    <x v="32"/>
  </r>
  <r>
    <x v="32"/>
  </r>
  <r>
    <x v="33"/>
  </r>
  <r>
    <x v="33"/>
  </r>
  <r>
    <x v="34"/>
  </r>
  <r>
    <x v="34"/>
  </r>
  <r>
    <x v="35"/>
  </r>
  <r>
    <x v="35"/>
  </r>
  <r>
    <x v="36"/>
  </r>
  <r>
    <x v="36"/>
  </r>
  <r>
    <x v="37"/>
  </r>
  <r>
    <x v="38"/>
  </r>
  <r>
    <x v="38"/>
  </r>
  <r>
    <x v="39"/>
  </r>
  <r>
    <x v="40"/>
  </r>
  <r>
    <x v="41"/>
  </r>
  <r>
    <x v="42"/>
  </r>
  <r>
    <x v="42"/>
  </r>
  <r>
    <x v="43"/>
  </r>
  <r>
    <x v="43"/>
  </r>
  <r>
    <x v="44"/>
  </r>
  <r>
    <x v="44"/>
  </r>
  <r>
    <x v="44"/>
  </r>
  <r>
    <x v="44"/>
  </r>
  <r>
    <x v="45"/>
  </r>
  <r>
    <x v="46"/>
  </r>
  <r>
    <x v="47"/>
  </r>
  <r>
    <x v="47"/>
  </r>
  <r>
    <x v="48"/>
  </r>
  <r>
    <x v="49"/>
  </r>
  <r>
    <x v="49"/>
  </r>
  <r>
    <x v="49"/>
  </r>
  <r>
    <x v="50"/>
  </r>
  <r>
    <x v="50"/>
  </r>
  <r>
    <x v="48"/>
  </r>
  <r>
    <x v="48"/>
  </r>
  <r>
    <x v="48"/>
  </r>
  <r>
    <x v="51"/>
  </r>
  <r>
    <x v="51"/>
  </r>
  <r>
    <x v="51"/>
  </r>
  <r>
    <x v="52"/>
  </r>
  <r>
    <x v="52"/>
  </r>
  <r>
    <x v="52"/>
  </r>
  <r>
    <x v="52"/>
  </r>
  <r>
    <x v="53"/>
  </r>
  <r>
    <x v="54"/>
  </r>
  <r>
    <x v="55"/>
  </r>
  <r>
    <x v="55"/>
  </r>
  <r>
    <x v="56"/>
  </r>
  <r>
    <x v="57"/>
  </r>
  <r>
    <x v="57"/>
  </r>
  <r>
    <x v="58"/>
  </r>
  <r>
    <x v="58"/>
  </r>
  <r>
    <x v="58"/>
  </r>
  <r>
    <x v="59"/>
  </r>
  <r>
    <x v="60"/>
  </r>
  <r>
    <x v="60"/>
  </r>
  <r>
    <x v="60"/>
  </r>
  <r>
    <x v="61"/>
  </r>
  <r>
    <x v="62"/>
  </r>
  <r>
    <x v="62"/>
  </r>
  <r>
    <x v="62"/>
  </r>
  <r>
    <x v="62"/>
  </r>
  <r>
    <x v="62"/>
  </r>
  <r>
    <x v="63"/>
  </r>
  <r>
    <x v="64"/>
  </r>
  <r>
    <x v="64"/>
  </r>
  <r>
    <x v="64"/>
  </r>
  <r>
    <x v="65"/>
  </r>
  <r>
    <x v="65"/>
  </r>
  <r>
    <x v="66"/>
  </r>
  <r>
    <x v="66"/>
  </r>
  <r>
    <x v="67"/>
  </r>
  <r>
    <x v="67"/>
  </r>
  <r>
    <x v="68"/>
  </r>
  <r>
    <x v="68"/>
  </r>
  <r>
    <x v="69"/>
  </r>
  <r>
    <x v="69"/>
  </r>
  <r>
    <x v="69"/>
  </r>
  <r>
    <x v="69"/>
  </r>
  <r>
    <x v="70"/>
  </r>
  <r>
    <x v="70"/>
  </r>
  <r>
    <x v="71"/>
  </r>
  <r>
    <x v="72"/>
  </r>
  <r>
    <x v="73"/>
  </r>
  <r>
    <x v="74"/>
  </r>
  <r>
    <x v="74"/>
  </r>
  <r>
    <x v="74"/>
  </r>
  <r>
    <x v="75"/>
  </r>
  <r>
    <x v="75"/>
  </r>
  <r>
    <x v="75"/>
  </r>
  <r>
    <x v="76"/>
  </r>
  <r>
    <x v="76"/>
  </r>
  <r>
    <x v="77"/>
  </r>
  <r>
    <x v="77"/>
  </r>
  <r>
    <x v="77"/>
  </r>
  <r>
    <x v="78"/>
  </r>
  <r>
    <x v="78"/>
  </r>
  <r>
    <x v="79"/>
  </r>
  <r>
    <x v="79"/>
  </r>
  <r>
    <x v="79"/>
  </r>
  <r>
    <x v="80"/>
  </r>
  <r>
    <x v="81"/>
  </r>
  <r>
    <x v="82"/>
  </r>
  <r>
    <x v="82"/>
  </r>
  <r>
    <x v="82"/>
  </r>
  <r>
    <x v="81"/>
  </r>
  <r>
    <x v="81"/>
  </r>
  <r>
    <x v="81"/>
  </r>
  <r>
    <x v="83"/>
  </r>
  <r>
    <x v="83"/>
  </r>
  <r>
    <x v="83"/>
  </r>
  <r>
    <x v="84"/>
  </r>
  <r>
    <x v="85"/>
  </r>
  <r>
    <x v="85"/>
  </r>
  <r>
    <x v="85"/>
  </r>
  <r>
    <x v="86"/>
  </r>
  <r>
    <x v="86"/>
  </r>
  <r>
    <x v="86"/>
  </r>
  <r>
    <x v="86"/>
  </r>
  <r>
    <x v="87"/>
  </r>
  <r>
    <x v="87"/>
  </r>
  <r>
    <x v="87"/>
  </r>
  <r>
    <x v="87"/>
  </r>
  <r>
    <x v="88"/>
  </r>
  <r>
    <x v="88"/>
  </r>
  <r>
    <x v="88"/>
  </r>
  <r>
    <x v="88"/>
  </r>
  <r>
    <x v="88"/>
  </r>
  <r>
    <x v="89"/>
  </r>
  <r>
    <x v="89"/>
  </r>
  <r>
    <x v="89"/>
  </r>
  <r>
    <x v="90"/>
  </r>
  <r>
    <x v="90"/>
  </r>
  <r>
    <x v="91"/>
  </r>
  <r>
    <x v="92"/>
  </r>
  <r>
    <x v="93"/>
  </r>
  <r>
    <x v="93"/>
  </r>
  <r>
    <x v="94"/>
  </r>
  <r>
    <x v="94"/>
  </r>
  <r>
    <x v="94"/>
  </r>
  <r>
    <x v="95"/>
  </r>
  <r>
    <x v="95"/>
  </r>
  <r>
    <x v="96"/>
  </r>
  <r>
    <x v="96"/>
  </r>
  <r>
    <x v="97"/>
  </r>
  <r>
    <x v="97"/>
  </r>
  <r>
    <x v="98"/>
  </r>
  <r>
    <x v="98"/>
  </r>
  <r>
    <x v="98"/>
  </r>
  <r>
    <x v="98"/>
  </r>
  <r>
    <x v="99"/>
  </r>
  <r>
    <x v="100"/>
  </r>
  <r>
    <x v="100"/>
  </r>
  <r>
    <x v="100"/>
  </r>
  <r>
    <x v="101"/>
  </r>
  <r>
    <x v="101"/>
  </r>
  <r>
    <x v="101"/>
  </r>
  <r>
    <x v="101"/>
  </r>
  <r>
    <x v="102"/>
  </r>
  <r>
    <x v="103"/>
  </r>
  <r>
    <x v="103"/>
  </r>
  <r>
    <x v="104"/>
  </r>
  <r>
    <x v="104"/>
  </r>
  <r>
    <x v="105"/>
  </r>
  <r>
    <x v="106"/>
  </r>
  <r>
    <x v="106"/>
  </r>
  <r>
    <x v="107"/>
  </r>
  <r>
    <x v="108"/>
  </r>
  <r>
    <x v="108"/>
  </r>
  <r>
    <x v="108"/>
  </r>
  <r>
    <x v="109"/>
  </r>
  <r>
    <x v="110"/>
  </r>
  <r>
    <x v="110"/>
  </r>
  <r>
    <x v="110"/>
  </r>
  <r>
    <x v="110"/>
  </r>
  <r>
    <x v="110"/>
  </r>
  <r>
    <x v="111"/>
  </r>
  <r>
    <x v="111"/>
  </r>
  <r>
    <x v="111"/>
  </r>
  <r>
    <x v="112"/>
  </r>
  <r>
    <x v="112"/>
  </r>
  <r>
    <x v="112"/>
  </r>
  <r>
    <x v="113"/>
  </r>
  <r>
    <x v="114"/>
  </r>
  <r>
    <x v="114"/>
  </r>
  <r>
    <x v="114"/>
  </r>
  <r>
    <x v="115"/>
  </r>
  <r>
    <x v="115"/>
  </r>
  <r>
    <x v="116"/>
  </r>
  <r>
    <x v="116"/>
  </r>
  <r>
    <x v="116"/>
  </r>
  <r>
    <x v="116"/>
  </r>
  <r>
    <x v="117"/>
  </r>
  <r>
    <x v="117"/>
  </r>
  <r>
    <x v="117"/>
  </r>
  <r>
    <x v="117"/>
  </r>
  <r>
    <x v="117"/>
  </r>
  <r>
    <x v="117"/>
  </r>
  <r>
    <x v="118"/>
  </r>
  <r>
    <x v="118"/>
  </r>
  <r>
    <x v="119"/>
  </r>
  <r>
    <x v="119"/>
  </r>
  <r>
    <x v="120"/>
  </r>
  <r>
    <x v="121"/>
  </r>
  <r>
    <x v="121"/>
  </r>
  <r>
    <x v="121"/>
  </r>
  <r>
    <x v="122"/>
  </r>
  <r>
    <x v="122"/>
  </r>
  <r>
    <x v="123"/>
  </r>
  <r>
    <x v="123"/>
  </r>
  <r>
    <x v="123"/>
  </r>
  <r>
    <x v="124"/>
  </r>
  <r>
    <x v="124"/>
  </r>
  <r>
    <x v="124"/>
  </r>
  <r>
    <x v="124"/>
  </r>
  <r>
    <x v="125"/>
  </r>
  <r>
    <x v="126"/>
  </r>
  <r>
    <x v="126"/>
  </r>
  <r>
    <x v="127"/>
  </r>
  <r>
    <x v="127"/>
  </r>
  <r>
    <x v="128"/>
  </r>
  <r>
    <x v="129"/>
  </r>
  <r>
    <x v="129"/>
  </r>
  <r>
    <x v="128"/>
  </r>
  <r>
    <x v="128"/>
  </r>
  <r>
    <x v="128"/>
  </r>
  <r>
    <x v="128"/>
  </r>
  <r>
    <x v="128"/>
  </r>
  <r>
    <x v="130"/>
  </r>
  <r>
    <x v="131"/>
  </r>
  <r>
    <x v="132"/>
  </r>
  <r>
    <x v="132"/>
  </r>
  <r>
    <x v="133"/>
  </r>
  <r>
    <x v="133"/>
  </r>
  <r>
    <x v="133"/>
  </r>
  <r>
    <x v="133"/>
  </r>
  <r>
    <x v="133"/>
  </r>
  <r>
    <x v="133"/>
  </r>
  <r>
    <x v="134"/>
  </r>
  <r>
    <x v="134"/>
  </r>
  <r>
    <x v="135"/>
  </r>
  <r>
    <x v="136"/>
  </r>
  <r>
    <x v="136"/>
  </r>
  <r>
    <x v="137"/>
  </r>
  <r>
    <x v="138"/>
  </r>
  <r>
    <x v="138"/>
  </r>
  <r>
    <x v="139"/>
  </r>
  <r>
    <x v="139"/>
  </r>
  <r>
    <x v="139"/>
  </r>
  <r>
    <x v="139"/>
  </r>
  <r>
    <x v="140"/>
  </r>
  <r>
    <x v="141"/>
  </r>
  <r>
    <x v="141"/>
  </r>
  <r>
    <x v="141"/>
  </r>
  <r>
    <x v="142"/>
  </r>
  <r>
    <x v="142"/>
  </r>
  <r>
    <x v="143"/>
  </r>
  <r>
    <x v="143"/>
  </r>
  <r>
    <x v="144"/>
  </r>
  <r>
    <x v="145"/>
  </r>
  <r>
    <x v="145"/>
  </r>
  <r>
    <x v="146"/>
  </r>
  <r>
    <x v="146"/>
  </r>
  <r>
    <x v="147"/>
  </r>
  <r>
    <x v="147"/>
  </r>
  <r>
    <x v="147"/>
  </r>
  <r>
    <x v="148"/>
  </r>
  <r>
    <x v="148"/>
  </r>
  <r>
    <x v="148"/>
  </r>
  <r>
    <x v="149"/>
  </r>
  <r>
    <x v="150"/>
  </r>
  <r>
    <x v="150"/>
  </r>
  <r>
    <x v="150"/>
  </r>
  <r>
    <x v="150"/>
  </r>
  <r>
    <x v="151"/>
  </r>
  <r>
    <x v="151"/>
  </r>
  <r>
    <x v="152"/>
  </r>
  <r>
    <x v="152"/>
  </r>
  <r>
    <x v="152"/>
  </r>
  <r>
    <x v="152"/>
  </r>
  <r>
    <x v="153"/>
  </r>
  <r>
    <x v="153"/>
  </r>
  <r>
    <x v="153"/>
  </r>
  <r>
    <x v="153"/>
  </r>
  <r>
    <x v="153"/>
  </r>
  <r>
    <x v="153"/>
  </r>
  <r>
    <x v="154"/>
  </r>
  <r>
    <x v="154"/>
  </r>
  <r>
    <x v="154"/>
  </r>
  <r>
    <x v="154"/>
  </r>
  <r>
    <x v="155"/>
  </r>
  <r>
    <x v="156"/>
  </r>
  <r>
    <x v="156"/>
  </r>
  <r>
    <x v="156"/>
  </r>
  <r>
    <x v="156"/>
  </r>
  <r>
    <x v="155"/>
  </r>
  <r>
    <x v="155"/>
  </r>
  <r>
    <x v="155"/>
  </r>
  <r>
    <x v="155"/>
  </r>
  <r>
    <x v="155"/>
  </r>
  <r>
    <x v="155"/>
  </r>
  <r>
    <x v="157"/>
  </r>
  <r>
    <x v="157"/>
  </r>
  <r>
    <x v="157"/>
  </r>
  <r>
    <x v="157"/>
  </r>
  <r>
    <x v="158"/>
  </r>
  <r>
    <x v="158"/>
  </r>
  <r>
    <x v="158"/>
  </r>
  <r>
    <x v="159"/>
  </r>
  <r>
    <x v="160"/>
  </r>
  <r>
    <x v="160"/>
  </r>
  <r>
    <x v="160"/>
  </r>
  <r>
    <x v="159"/>
  </r>
  <r>
    <x v="159"/>
  </r>
  <r>
    <x v="159"/>
  </r>
  <r>
    <x v="159"/>
  </r>
  <r>
    <x v="161"/>
  </r>
  <r>
    <x v="161"/>
  </r>
  <r>
    <x v="162"/>
  </r>
  <r>
    <x v="162"/>
  </r>
  <r>
    <x v="162"/>
  </r>
  <r>
    <x v="163"/>
  </r>
  <r>
    <x v="164"/>
  </r>
  <r>
    <x v="164"/>
  </r>
  <r>
    <x v="164"/>
  </r>
  <r>
    <x v="164"/>
  </r>
  <r>
    <x v="164"/>
  </r>
  <r>
    <x v="165"/>
  </r>
  <r>
    <x v="165"/>
  </r>
  <r>
    <x v="165"/>
  </r>
  <r>
    <x v="165"/>
  </r>
  <r>
    <x v="166"/>
  </r>
  <r>
    <x v="166"/>
  </r>
  <r>
    <x v="166"/>
  </r>
  <r>
    <x v="166"/>
  </r>
  <r>
    <x v="166"/>
  </r>
  <r>
    <x v="167"/>
  </r>
  <r>
    <x v="167"/>
  </r>
  <r>
    <x v="167"/>
  </r>
  <r>
    <x v="168"/>
  </r>
  <r>
    <x v="168"/>
  </r>
  <r>
    <x v="168"/>
  </r>
  <r>
    <x v="168"/>
  </r>
  <r>
    <x v="168"/>
  </r>
  <r>
    <x v="169"/>
  </r>
  <r>
    <x v="169"/>
  </r>
  <r>
    <x v="169"/>
  </r>
  <r>
    <x v="169"/>
  </r>
  <r>
    <x v="170"/>
  </r>
  <r>
    <x v="170"/>
  </r>
  <r>
    <x v="170"/>
  </r>
  <r>
    <x v="171"/>
  </r>
  <r>
    <x v="171"/>
  </r>
  <r>
    <x v="172"/>
  </r>
  <r>
    <x v="172"/>
  </r>
  <r>
    <x v="172"/>
  </r>
  <r>
    <x v="172"/>
  </r>
  <r>
    <x v="172"/>
  </r>
  <r>
    <x v="172"/>
  </r>
  <r>
    <x v="173"/>
  </r>
  <r>
    <x v="173"/>
  </r>
  <r>
    <x v="173"/>
  </r>
  <r>
    <x v="173"/>
  </r>
  <r>
    <x v="174"/>
  </r>
  <r>
    <x v="175"/>
  </r>
  <r>
    <x v="175"/>
  </r>
  <r>
    <x v="176"/>
  </r>
  <r>
    <x v="177"/>
  </r>
  <r>
    <x v="178"/>
  </r>
  <r>
    <x v="179"/>
  </r>
  <r>
    <x v="180"/>
  </r>
  <r>
    <x v="180"/>
  </r>
  <r>
    <x v="180"/>
  </r>
  <r>
    <x v="181"/>
  </r>
  <r>
    <x v="182"/>
  </r>
  <r>
    <x v="182"/>
  </r>
  <r>
    <x v="182"/>
  </r>
  <r>
    <x v="182"/>
  </r>
  <r>
    <x v="183"/>
  </r>
  <r>
    <x v="183"/>
  </r>
  <r>
    <x v="183"/>
  </r>
  <r>
    <x v="183"/>
  </r>
  <r>
    <x v="184"/>
  </r>
  <r>
    <x v="184"/>
  </r>
  <r>
    <x v="184"/>
  </r>
  <r>
    <x v="185"/>
  </r>
  <r>
    <x v="185"/>
  </r>
  <r>
    <x v="186"/>
  </r>
  <r>
    <x v="186"/>
  </r>
  <r>
    <x v="186"/>
  </r>
  <r>
    <x v="186"/>
  </r>
  <r>
    <x v="186"/>
  </r>
  <r>
    <x v="187"/>
  </r>
  <r>
    <x v="188"/>
  </r>
  <r>
    <x v="181"/>
  </r>
  <r>
    <x v="181"/>
  </r>
  <r>
    <x v="181"/>
  </r>
  <r>
    <x v="181"/>
  </r>
  <r>
    <x v="189"/>
  </r>
  <r>
    <x v="189"/>
  </r>
  <r>
    <x v="189"/>
  </r>
  <r>
    <x v="190"/>
  </r>
  <r>
    <x v="191"/>
  </r>
  <r>
    <x v="190"/>
  </r>
  <r>
    <x v="190"/>
  </r>
  <r>
    <x v="192"/>
  </r>
  <r>
    <x v="193"/>
  </r>
  <r>
    <x v="193"/>
  </r>
  <r>
    <x v="193"/>
  </r>
  <r>
    <x v="194"/>
  </r>
  <r>
    <x v="195"/>
  </r>
  <r>
    <x v="195"/>
  </r>
  <r>
    <x v="196"/>
  </r>
  <r>
    <x v="197"/>
  </r>
  <r>
    <x v="197"/>
  </r>
  <r>
    <x v="197"/>
  </r>
  <r>
    <x v="197"/>
  </r>
  <r>
    <x v="198"/>
  </r>
  <r>
    <x v="198"/>
  </r>
  <r>
    <x v="198"/>
  </r>
  <r>
    <x v="199"/>
  </r>
  <r>
    <x v="199"/>
  </r>
  <r>
    <x v="199"/>
  </r>
  <r>
    <x v="199"/>
  </r>
  <r>
    <x v="199"/>
  </r>
  <r>
    <x v="199"/>
  </r>
  <r>
    <x v="199"/>
  </r>
  <r>
    <x v="200"/>
  </r>
  <r>
    <x v="200"/>
  </r>
  <r>
    <x v="200"/>
  </r>
  <r>
    <x v="200"/>
  </r>
  <r>
    <x v="201"/>
  </r>
  <r>
    <x v="201"/>
  </r>
  <r>
    <x v="202"/>
  </r>
  <r>
    <x v="202"/>
  </r>
  <r>
    <x v="202"/>
  </r>
  <r>
    <x v="202"/>
  </r>
  <r>
    <x v="202"/>
  </r>
  <r>
    <x v="202"/>
  </r>
  <r>
    <x v="203"/>
  </r>
  <r>
    <x v="203"/>
  </r>
  <r>
    <x v="204"/>
  </r>
  <r>
    <x v="204"/>
  </r>
  <r>
    <x v="204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5"/>
  </r>
  <r>
    <x v="206"/>
  </r>
  <r>
    <x v="206"/>
  </r>
  <r>
    <x v="206"/>
  </r>
  <r>
    <x v="207"/>
  </r>
  <r>
    <x v="207"/>
  </r>
  <r>
    <x v="207"/>
  </r>
  <r>
    <x v="207"/>
  </r>
  <r>
    <x v="207"/>
  </r>
  <r>
    <x v="208"/>
  </r>
  <r>
    <x v="171"/>
  </r>
  <r>
    <x v="208"/>
  </r>
  <r>
    <x v="208"/>
  </r>
  <r>
    <x v="208"/>
  </r>
  <r>
    <x v="208"/>
  </r>
  <r>
    <x v="208"/>
  </r>
  <r>
    <x v="208"/>
  </r>
  <r>
    <x v="208"/>
  </r>
  <r>
    <x v="209"/>
  </r>
  <r>
    <x v="209"/>
  </r>
  <r>
    <x v="209"/>
  </r>
  <r>
    <x v="209"/>
  </r>
  <r>
    <x v="209"/>
  </r>
  <r>
    <x v="209"/>
  </r>
  <r>
    <x v="209"/>
  </r>
  <r>
    <x v="209"/>
  </r>
  <r>
    <x v="210"/>
  </r>
  <r>
    <x v="210"/>
  </r>
  <r>
    <x v="210"/>
  </r>
  <r>
    <x v="211"/>
  </r>
  <r>
    <x v="212"/>
  </r>
  <r>
    <x v="212"/>
  </r>
  <r>
    <x v="212"/>
  </r>
  <r>
    <x v="213"/>
  </r>
  <r>
    <x v="213"/>
  </r>
  <r>
    <x v="214"/>
  </r>
  <r>
    <x v="214"/>
  </r>
  <r>
    <x v="215"/>
  </r>
  <r>
    <x v="216"/>
  </r>
  <r>
    <x v="216"/>
  </r>
  <r>
    <x v="216"/>
  </r>
  <r>
    <x v="216"/>
  </r>
  <r>
    <x v="217"/>
  </r>
  <r>
    <x v="217"/>
  </r>
  <r>
    <x v="217"/>
  </r>
  <r>
    <x v="218"/>
  </r>
  <r>
    <x v="218"/>
  </r>
  <r>
    <x v="218"/>
  </r>
  <r>
    <x v="188"/>
  </r>
  <r>
    <x v="219"/>
  </r>
  <r>
    <x v="2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DEE737-BA2B-9948-B1BD-47D3FC6E250D}" name="Tableau croisé dynamique2" cacheId="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 chartFormat="12">
  <location ref="Y3:Z16" firstHeaderRow="1" firstDataRow="1" firstDataCol="1"/>
  <pivotFields count="4">
    <pivotField dataField="1" showAll="0">
      <items count="778">
        <item m="1" x="773"/>
        <item m="1" x="550"/>
        <item m="1" x="775"/>
        <item m="1" x="254"/>
        <item m="1" x="680"/>
        <item m="1" x="716"/>
        <item m="1" x="549"/>
        <item m="1" x="479"/>
        <item m="1" x="614"/>
        <item m="1" x="718"/>
        <item m="1" x="590"/>
        <item m="1" x="761"/>
        <item m="1" x="572"/>
        <item m="1" x="571"/>
        <item m="1" x="283"/>
        <item m="1" x="287"/>
        <item m="1" x="418"/>
        <item m="1" x="285"/>
        <item m="1" x="596"/>
        <item m="1" x="292"/>
        <item m="1" x="327"/>
        <item m="1" x="546"/>
        <item m="1" x="225"/>
        <item m="1" x="228"/>
        <item m="1" x="332"/>
        <item m="1" x="333"/>
        <item m="1" x="628"/>
        <item m="1" x="591"/>
        <item m="1" x="635"/>
        <item m="1" x="706"/>
        <item m="1" x="602"/>
        <item m="1" x="492"/>
        <item m="1" x="633"/>
        <item m="1" x="598"/>
        <item m="1" x="566"/>
        <item m="1" x="243"/>
        <item m="1" x="273"/>
        <item m="1" x="500"/>
        <item m="1" x="371"/>
        <item m="1" x="516"/>
        <item m="1" x="669"/>
        <item m="1" x="632"/>
        <item m="1" x="438"/>
        <item m="1" x="253"/>
        <item m="1" x="248"/>
        <item m="1" x="689"/>
        <item m="1" x="511"/>
        <item m="1" x="576"/>
        <item m="1" x="369"/>
        <item m="1" x="291"/>
        <item m="1" x="513"/>
        <item m="1" x="402"/>
        <item m="1" x="269"/>
        <item m="1" x="467"/>
        <item m="1" x="662"/>
        <item m="1" x="359"/>
        <item m="1" x="694"/>
        <item m="1" x="625"/>
        <item m="1" x="419"/>
        <item m="1" x="639"/>
        <item m="1" x="650"/>
        <item m="1" x="308"/>
        <item m="1" x="298"/>
        <item m="1" x="288"/>
        <item m="1" x="229"/>
        <item m="1" x="443"/>
        <item m="1" x="528"/>
        <item m="1" x="239"/>
        <item m="1" x="672"/>
        <item m="1" x="685"/>
        <item m="1" x="448"/>
        <item m="1" x="240"/>
        <item m="1" x="385"/>
        <item m="1" x="238"/>
        <item m="1" x="709"/>
        <item m="1" x="334"/>
        <item m="1" x="312"/>
        <item m="1" x="261"/>
        <item m="1" x="581"/>
        <item m="1" x="270"/>
        <item m="1" x="452"/>
        <item m="1" x="477"/>
        <item m="1" x="661"/>
        <item m="1" x="450"/>
        <item m="1" x="697"/>
        <item m="1" x="539"/>
        <item m="1" x="636"/>
        <item m="1" x="529"/>
        <item m="1" x="641"/>
        <item m="1" x="336"/>
        <item m="1" x="649"/>
        <item m="1" x="723"/>
        <item m="1" x="471"/>
        <item m="1" x="383"/>
        <item m="1" x="577"/>
        <item m="1" x="730"/>
        <item m="1" x="525"/>
        <item m="1" x="493"/>
        <item m="1" x="431"/>
        <item m="1" x="488"/>
        <item m="1" x="715"/>
        <item m="1" x="255"/>
        <item m="1" x="286"/>
        <item m="1" x="361"/>
        <item m="1" x="654"/>
        <item m="1" x="405"/>
        <item m="1" x="776"/>
        <item m="1" x="707"/>
        <item m="1" x="435"/>
        <item m="1" x="763"/>
        <item m="1" x="344"/>
        <item m="1" x="365"/>
        <item m="1" x="660"/>
        <item m="1" x="398"/>
        <item m="1" x="277"/>
        <item m="1" x="626"/>
        <item m="1" x="300"/>
        <item m="1" x="495"/>
        <item m="1" x="771"/>
        <item m="1" x="720"/>
        <item m="1" x="523"/>
        <item m="1" x="520"/>
        <item m="1" x="610"/>
        <item m="1" x="509"/>
        <item m="1" x="453"/>
        <item m="1" x="510"/>
        <item m="1" x="647"/>
        <item m="1" x="366"/>
        <item m="1" x="627"/>
        <item m="1" x="355"/>
        <item m="1" x="501"/>
        <item m="1" x="724"/>
        <item m="1" x="630"/>
        <item m="1" x="424"/>
        <item m="1" x="524"/>
        <item m="1" x="668"/>
        <item m="1" x="752"/>
        <item m="1" x="377"/>
        <item m="1" x="370"/>
        <item m="1" x="275"/>
        <item m="1" x="264"/>
        <item m="1" x="606"/>
        <item m="1" x="416"/>
        <item m="1" x="487"/>
        <item m="1" x="341"/>
        <item m="1" x="378"/>
        <item m="1" x="553"/>
        <item m="1" x="656"/>
        <item m="1" x="666"/>
        <item m="1" x="522"/>
        <item m="1" x="410"/>
        <item m="1" x="426"/>
        <item m="1" x="754"/>
        <item m="1" x="631"/>
        <item m="1" x="233"/>
        <item m="1" x="309"/>
        <item m="1" x="316"/>
        <item m="1" x="391"/>
        <item m="1" x="532"/>
        <item m="1" x="314"/>
        <item m="1" x="384"/>
        <item m="1" x="664"/>
        <item m="1" x="478"/>
        <item m="1" x="530"/>
        <item m="1" x="705"/>
        <item m="1" x="527"/>
        <item m="1" x="542"/>
        <item m="1" x="425"/>
        <item m="1" x="544"/>
        <item m="1" x="512"/>
        <item m="1" x="708"/>
        <item m="1" x="307"/>
        <item m="1" x="299"/>
        <item m="1" x="432"/>
        <item m="1" x="595"/>
        <item m="1" x="339"/>
        <item m="1" x="354"/>
        <item m="1" x="257"/>
        <item m="1" x="340"/>
        <item m="1" x="436"/>
        <item m="1" x="302"/>
        <item m="1" x="676"/>
        <item m="1" x="711"/>
        <item m="1" x="569"/>
        <item m="1" x="262"/>
        <item m="1" x="688"/>
        <item m="1" x="651"/>
        <item m="1" x="439"/>
        <item m="1" x="642"/>
        <item m="1" x="263"/>
        <item m="1" x="551"/>
        <item m="1" x="703"/>
        <item m="1" x="489"/>
        <item m="1" x="338"/>
        <item m="1" x="695"/>
        <item m="1" x="721"/>
        <item m="1" x="600"/>
        <item m="1" x="536"/>
        <item m="1" x="388"/>
        <item m="1" x="282"/>
        <item m="1" x="280"/>
        <item m="1" x="413"/>
        <item m="1" x="420"/>
        <item m="1" x="301"/>
        <item m="1" x="260"/>
        <item m="1" x="463"/>
        <item m="1" x="232"/>
        <item m="1" x="608"/>
        <item m="1" x="414"/>
        <item m="1" x="290"/>
        <item m="1" x="319"/>
        <item m="1" x="364"/>
        <item m="1" x="644"/>
        <item m="1" x="681"/>
        <item m="1" x="772"/>
        <item m="1" x="505"/>
        <item m="1" x="268"/>
        <item m="1" x="464"/>
        <item m="1" x="446"/>
        <item m="1" x="342"/>
        <item m="1" x="259"/>
        <item m="1" x="320"/>
        <item m="1" x="368"/>
        <item m="1" x="494"/>
        <item m="1" x="557"/>
        <item m="1" x="587"/>
        <item m="1" x="604"/>
        <item m="1" x="491"/>
        <item m="1" x="659"/>
        <item m="1" x="362"/>
        <item m="1" x="357"/>
        <item m="1" x="503"/>
        <item m="1" x="329"/>
        <item m="1" x="558"/>
        <item m="1" x="620"/>
        <item m="1" x="597"/>
        <item m="1" x="328"/>
        <item m="1" x="692"/>
        <item m="1" x="469"/>
        <item m="1" x="474"/>
        <item m="1" x="430"/>
        <item m="1" x="422"/>
        <item m="1" x="454"/>
        <item m="1" x="585"/>
        <item m="1" x="296"/>
        <item m="1" x="533"/>
        <item m="1" x="518"/>
        <item m="1" x="622"/>
        <item m="1" x="671"/>
        <item m="1" x="615"/>
        <item m="1" x="684"/>
        <item m="1" x="537"/>
        <item m="1" x="770"/>
        <item m="1" x="667"/>
        <item m="1" x="401"/>
        <item m="1" x="740"/>
        <item m="1" x="449"/>
        <item m="1" x="323"/>
        <item m="1" x="547"/>
        <item m="1" x="267"/>
        <item m="1" x="579"/>
        <item m="1" x="476"/>
        <item m="1" x="605"/>
        <item m="1" x="322"/>
        <item m="1" x="623"/>
        <item m="1" x="556"/>
        <item m="1" x="237"/>
        <item m="1" x="582"/>
        <item m="1" x="374"/>
        <item m="1" x="567"/>
        <item m="1" x="624"/>
        <item m="1" x="762"/>
        <item m="1" x="245"/>
        <item m="1" x="717"/>
        <item m="1" x="373"/>
        <item m="1" x="367"/>
        <item m="1" x="643"/>
        <item m="1" x="485"/>
        <item m="1" x="748"/>
        <item m="1" x="760"/>
        <item m="1" x="670"/>
        <item m="1" x="482"/>
        <item m="1" x="621"/>
        <item m="1" x="421"/>
        <item m="1" x="351"/>
        <item m="1" x="619"/>
        <item m="1" x="594"/>
        <item m="1" x="640"/>
        <item m="1" x="297"/>
        <item m="1" x="712"/>
        <item m="1" x="755"/>
        <item m="1" x="404"/>
        <item m="1" x="235"/>
        <item m="1" x="560"/>
        <item m="1" x="358"/>
        <item m="1" x="575"/>
        <item m="1" x="578"/>
        <item m="1" x="751"/>
        <item m="1" x="735"/>
        <item m="1" x="458"/>
        <item m="1" x="562"/>
        <item m="1" x="456"/>
        <item m="1" x="475"/>
        <item m="1" x="646"/>
        <item m="1" x="326"/>
        <item m="1" x="675"/>
        <item m="1" x="653"/>
        <item m="1" x="764"/>
        <item m="1" x="343"/>
        <item m="1" x="304"/>
        <item m="1" x="722"/>
        <item m="1" x="593"/>
        <item m="1" x="756"/>
        <item m="1" x="652"/>
        <item m="1" x="335"/>
        <item m="1" x="473"/>
        <item m="1" x="472"/>
        <item m="1" x="519"/>
        <item m="1" x="346"/>
        <item m="1" x="753"/>
        <item m="1" x="429"/>
        <item m="1" x="437"/>
        <item m="1" x="678"/>
        <item m="1" x="258"/>
        <item m="1" x="415"/>
        <item m="1" x="548"/>
        <item m="1" x="408"/>
        <item m="1" x="618"/>
        <item m="1" x="679"/>
        <item m="1" x="563"/>
        <item m="1" x="349"/>
        <item m="1" x="739"/>
        <item m="1" x="306"/>
        <item m="1" x="465"/>
        <item m="1" x="442"/>
        <item m="1" x="395"/>
        <item m="1" x="486"/>
        <item m="1" x="573"/>
        <item m="1" x="315"/>
        <item m="1" x="461"/>
        <item m="1" x="599"/>
        <item m="1" x="481"/>
        <item m="1" x="393"/>
        <item m="1" x="521"/>
        <item m="1" x="601"/>
        <item m="1" x="337"/>
        <item m="1" x="552"/>
        <item m="1" x="392"/>
        <item m="1" x="574"/>
        <item m="1" x="223"/>
        <item m="1" x="451"/>
        <item m="1" x="747"/>
        <item m="1" x="331"/>
        <item m="1" x="455"/>
        <item m="1" x="387"/>
        <item m="1" x="397"/>
        <item m="1" x="586"/>
        <item m="1" x="634"/>
        <item m="1" x="713"/>
        <item m="1" x="281"/>
        <item m="1" x="496"/>
        <item m="1" x="293"/>
        <item m="1" x="457"/>
        <item m="1" x="407"/>
        <item m="1" x="691"/>
        <item m="1" x="490"/>
        <item m="1" x="757"/>
        <item m="1" x="356"/>
        <item m="1" x="729"/>
        <item m="1" x="396"/>
        <item m="1" x="526"/>
        <item m="1" x="434"/>
        <item m="1" x="375"/>
        <item m="1" x="409"/>
        <item m="1" x="348"/>
        <item m="1" x="531"/>
        <item m="1" x="700"/>
        <item m="1" x="690"/>
        <item m="1" x="725"/>
        <item m="1" x="584"/>
        <item m="1" x="738"/>
        <item m="1" x="460"/>
        <item m="1" x="612"/>
        <item m="1" x="743"/>
        <item m="1" x="428"/>
        <item m="1" x="305"/>
        <item m="1" x="570"/>
        <item m="1" x="303"/>
        <item m="1" x="347"/>
        <item m="1" x="702"/>
        <item m="1" x="386"/>
        <item m="1" x="517"/>
        <item m="1" x="363"/>
        <item m="1" x="541"/>
        <item m="1" x="504"/>
        <item m="1" x="400"/>
        <item m="1" x="657"/>
        <item m="1" x="564"/>
        <item m="1" x="231"/>
        <item m="1" x="244"/>
        <item m="1" x="480"/>
        <item m="1" x="719"/>
        <item m="1" x="252"/>
        <item m="1" x="768"/>
        <item m="1" x="655"/>
        <item m="1" x="588"/>
        <item m="1" x="750"/>
        <item m="1" x="412"/>
        <item m="1" x="534"/>
        <item m="1" x="247"/>
        <item m="1" x="468"/>
        <item m="1" x="498"/>
        <item m="1" x="345"/>
        <item m="1" x="663"/>
        <item m="1" x="381"/>
        <item m="1" x="645"/>
        <item m="1" x="607"/>
        <item m="1" x="742"/>
        <item m="1" x="221"/>
        <item m="1" x="462"/>
        <item m="1" x="313"/>
        <item m="1" x="483"/>
        <item m="1" x="310"/>
        <item m="1" x="427"/>
        <item m="1" x="592"/>
        <item m="1" x="580"/>
        <item m="1" x="701"/>
        <item m="1" x="321"/>
        <item m="1" x="726"/>
        <item m="1" x="406"/>
        <item m="1" x="222"/>
        <item m="1" x="352"/>
        <item m="1" x="318"/>
        <item m="1" x="360"/>
        <item m="1" x="506"/>
        <item m="1" x="515"/>
        <item m="1" x="353"/>
        <item m="1" x="677"/>
        <item m="1" x="507"/>
        <item m="1" x="394"/>
        <item m="1" x="380"/>
        <item m="1" x="324"/>
        <item m="1" x="417"/>
        <item m="1" x="502"/>
        <item m="1" x="445"/>
        <item m="1" x="271"/>
        <item m="1" x="251"/>
        <item m="1" x="294"/>
        <item m="1" x="673"/>
        <item m="1" x="714"/>
        <item m="1" x="734"/>
        <item m="1" x="242"/>
        <item m="1" x="289"/>
        <item m="1" x="683"/>
        <item m="1" x="583"/>
        <item m="1" x="265"/>
        <item m="1" x="284"/>
        <item m="1" x="535"/>
        <item m="1" x="433"/>
        <item m="1" x="767"/>
        <item m="1" x="224"/>
        <item m="1" x="561"/>
        <item m="1" x="227"/>
        <item m="1" x="728"/>
        <item m="1" x="699"/>
        <item m="1" x="266"/>
        <item m="1" x="325"/>
        <item m="1" x="603"/>
        <item m="1" x="731"/>
        <item m="1" x="629"/>
        <item m="1" x="744"/>
        <item m="1" x="765"/>
        <item m="1" x="272"/>
        <item m="1" x="508"/>
        <item m="1" x="704"/>
        <item m="1" x="565"/>
        <item m="1" x="693"/>
        <item m="1" x="372"/>
        <item m="1" x="609"/>
        <item m="1" x="444"/>
        <item m="1" x="758"/>
        <item m="1" x="737"/>
        <item m="1" x="403"/>
        <item m="1" x="317"/>
        <item m="1" x="543"/>
        <item m="1" x="250"/>
        <item m="1" x="736"/>
        <item m="1" x="459"/>
        <item m="1" x="390"/>
        <item m="1" x="376"/>
        <item m="1" x="682"/>
        <item m="1" x="350"/>
        <item m="1" x="499"/>
        <item m="1" x="399"/>
        <item m="1" x="554"/>
        <item m="1" x="466"/>
        <item m="1" x="674"/>
        <item m="1" x="710"/>
        <item m="1" x="311"/>
        <item m="1" x="278"/>
        <item m="1" x="540"/>
        <item m="1" x="389"/>
        <item m="1" x="379"/>
        <item m="1" x="732"/>
        <item m="1" x="638"/>
        <item m="1" x="246"/>
        <item m="1" x="276"/>
        <item m="1" x="256"/>
        <item m="1" x="617"/>
        <item m="1" x="538"/>
        <item m="1" x="411"/>
        <item m="1" x="274"/>
        <item m="1" x="484"/>
        <item m="1" x="769"/>
        <item m="1" x="745"/>
        <item m="1" x="295"/>
        <item m="1" x="230"/>
        <item m="1" x="440"/>
        <item m="1" x="637"/>
        <item m="1" x="241"/>
        <item m="1" x="696"/>
        <item m="1" x="611"/>
        <item m="1" x="741"/>
        <item m="1" x="514"/>
        <item m="1" x="545"/>
        <item m="1" x="226"/>
        <item m="1" x="686"/>
        <item m="1" x="555"/>
        <item m="1" x="279"/>
        <item m="1" x="613"/>
        <item m="1" x="733"/>
        <item m="1" x="330"/>
        <item m="1" x="568"/>
        <item m="1" x="665"/>
        <item m="1" x="589"/>
        <item m="1" x="423"/>
        <item m="1" x="236"/>
        <item m="1" x="470"/>
        <item m="1" x="766"/>
        <item m="1" x="447"/>
        <item m="1" x="382"/>
        <item m="1" x="774"/>
        <item m="1" x="616"/>
        <item m="1" x="759"/>
        <item m="1" x="658"/>
        <item m="1" x="687"/>
        <item m="1" x="441"/>
        <item m="1" x="746"/>
        <item m="1" x="249"/>
        <item m="1" x="559"/>
        <item m="1" x="749"/>
        <item m="1" x="234"/>
        <item m="1" x="497"/>
        <item m="1" x="698"/>
        <item m="1" x="648"/>
        <item m="1" x="727"/>
        <item x="188"/>
        <item x="218"/>
        <item x="217"/>
        <item x="219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1"/>
        <item x="193"/>
        <item x="192"/>
        <item x="190"/>
        <item x="189"/>
        <item x="181"/>
        <item x="187"/>
        <item x="186"/>
        <item x="185"/>
        <item x="184"/>
        <item x="183"/>
        <item x="182"/>
        <item x="180"/>
        <item x="220"/>
        <item x="179"/>
        <item x="174"/>
        <item x="175"/>
        <item x="176"/>
        <item x="177"/>
        <item x="178"/>
        <item x="173"/>
        <item x="172"/>
        <item x="165"/>
        <item x="166"/>
        <item x="167"/>
        <item x="168"/>
        <item x="169"/>
        <item x="170"/>
        <item x="171"/>
        <item x="159"/>
        <item x="161"/>
        <item x="162"/>
        <item x="163"/>
        <item x="164"/>
        <item x="158"/>
        <item x="156"/>
        <item x="155"/>
        <item x="160"/>
        <item x="157"/>
        <item x="154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16"/>
        <item x="117"/>
        <item x="118"/>
        <item x="119"/>
        <item x="120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71"/>
        <item x="72"/>
        <item x="73"/>
        <item x="74"/>
        <item x="75"/>
        <item x="76"/>
        <item x="77"/>
        <item x="50"/>
        <item x="48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44"/>
        <item x="45"/>
        <item x="46"/>
        <item x="47"/>
        <item x="49"/>
        <item x="37"/>
        <item x="38"/>
        <item x="39"/>
        <item x="40"/>
        <item x="41"/>
        <item x="42"/>
        <item x="43"/>
        <item x="35"/>
        <item x="36"/>
        <item x="19"/>
        <item x="20"/>
        <item x="21"/>
        <item x="22"/>
        <item x="23"/>
        <item x="24"/>
        <item x="25"/>
        <item x="26"/>
        <item x="27"/>
        <item x="28"/>
        <item x="29"/>
        <item x="32"/>
        <item x="33"/>
        <item x="34"/>
        <item x="30"/>
        <item x="31"/>
        <item x="10"/>
        <item x="11"/>
        <item x="12"/>
        <item x="13"/>
        <item x="14"/>
        <item x="16"/>
        <item x="17"/>
        <item x="15"/>
        <item x="18"/>
        <item x="7"/>
        <item x="8"/>
        <item x="9"/>
        <item x="6"/>
        <item x="0"/>
        <item x="1"/>
        <item x="2"/>
        <item x="3"/>
        <item x="4"/>
        <item x="5"/>
        <item t="default"/>
      </items>
    </pivotField>
    <pivotField axis="axisRow" showAll="0">
      <items count="15">
        <item h="1"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h="1" sd="0" x="13"/>
        <item t="default"/>
      </items>
    </pivotField>
    <pivotField showAll="0">
      <items count="7">
        <item sd="0" x="1"/>
        <item sd="0" x="2"/>
        <item sd="0" x="3"/>
        <item sd="0" x="4"/>
        <item x="0"/>
        <item x="5"/>
        <item t="default"/>
      </items>
    </pivotField>
    <pivotField showAll="0">
      <items count="5">
        <item sd="0" x="1"/>
        <item x="2"/>
        <item x="0"/>
        <item x="3"/>
        <item t="default"/>
      </items>
    </pivotField>
  </pivotFields>
  <rowFields count="1">
    <field x="1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Nombre de date_prescription" fld="0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3B4295-6215-E14F-A609-B5AD44F6E973}" name="Tableau croisé dynamique1" cacheId="0" applyNumberFormats="0" applyBorderFormats="0" applyFontFormats="0" applyPatternFormats="0" applyAlignmentFormats="0" applyWidthHeightFormats="1" dataCaption="Valeurs" updatedVersion="8" minRefreshableVersion="3" showDrill="0" useAutoFormatting="1" itemPrintTitles="1" createdVersion="8" indent="0" showHeaders="0" outline="1" outlineData="1" multipleFieldFilters="0" chartFormat="2">
  <location ref="B1:G183" firstHeaderRow="1" firstDataRow="2" firstDataCol="1"/>
  <pivotFields count="3">
    <pivotField showAll="0"/>
    <pivotField axis="axisRow" dataField="1" showAll="0" sortType="descending">
      <items count="309">
        <item x="180"/>
        <item x="75"/>
        <item x="79"/>
        <item x="108"/>
        <item x="112"/>
        <item x="160"/>
        <item m="1" x="299"/>
        <item x="117"/>
        <item m="1" x="249"/>
        <item x="57"/>
        <item m="1" x="301"/>
        <item x="68"/>
        <item m="1" x="278"/>
        <item m="1" x="281"/>
        <item m="1" x="192"/>
        <item x="58"/>
        <item x="18"/>
        <item x="69"/>
        <item x="39"/>
        <item x="164"/>
        <item x="2"/>
        <item m="1" x="222"/>
        <item m="1" x="237"/>
        <item x="44"/>
        <item m="1" x="264"/>
        <item x="16"/>
        <item m="1" x="256"/>
        <item x="156"/>
        <item x="85"/>
        <item m="1" x="282"/>
        <item x="91"/>
        <item x="149"/>
        <item m="1" x="303"/>
        <item x="127"/>
        <item x="54"/>
        <item m="1" x="193"/>
        <item m="1" x="232"/>
        <item m="1" x="302"/>
        <item x="64"/>
        <item m="1" x="250"/>
        <item m="1" x="187"/>
        <item x="153"/>
        <item x="14"/>
        <item m="1" x="246"/>
        <item x="12"/>
        <item x="145"/>
        <item m="1" x="271"/>
        <item m="1" x="262"/>
        <item x="133"/>
        <item x="11"/>
        <item m="1" x="266"/>
        <item m="1" x="295"/>
        <item m="1" x="183"/>
        <item m="1" x="231"/>
        <item x="174"/>
        <item m="1" x="226"/>
        <item m="1" x="300"/>
        <item x="139"/>
        <item m="1" x="213"/>
        <item x="161"/>
        <item x="130"/>
        <item m="1" x="257"/>
        <item m="1" x="221"/>
        <item x="87"/>
        <item x="104"/>
        <item x="124"/>
        <item x="74"/>
        <item m="1" x="241"/>
        <item x="119"/>
        <item x="170"/>
        <item m="1" x="228"/>
        <item m="1" x="189"/>
        <item x="25"/>
        <item m="1" x="181"/>
        <item m="1" x="210"/>
        <item m="1" x="286"/>
        <item x="42"/>
        <item m="1" x="195"/>
        <item x="49"/>
        <item m="1" x="273"/>
        <item x="7"/>
        <item x="132"/>
        <item x="32"/>
        <item m="1" x="202"/>
        <item m="1" x="223"/>
        <item x="101"/>
        <item x="175"/>
        <item x="106"/>
        <item m="1" x="205"/>
        <item x="17"/>
        <item m="1" x="244"/>
        <item m="1" x="235"/>
        <item m="1" x="186"/>
        <item x="163"/>
        <item x="109"/>
        <item x="21"/>
        <item x="93"/>
        <item x="165"/>
        <item x="110"/>
        <item m="1" x="267"/>
        <item m="1" x="253"/>
        <item m="1" x="198"/>
        <item x="66"/>
        <item x="131"/>
        <item x="176"/>
        <item x="151"/>
        <item m="1" x="296"/>
        <item x="138"/>
        <item x="103"/>
        <item m="1" x="279"/>
        <item x="102"/>
        <item x="135"/>
        <item x="171"/>
        <item x="179"/>
        <item m="1" x="197"/>
        <item x="76"/>
        <item m="1" x="261"/>
        <item x="15"/>
        <item m="1" x="293"/>
        <item m="1" x="291"/>
        <item m="1" x="201"/>
        <item m="1" x="216"/>
        <item x="97"/>
        <item m="1" x="225"/>
        <item x="83"/>
        <item m="1" x="208"/>
        <item x="123"/>
        <item m="1" x="283"/>
        <item m="1" x="259"/>
        <item x="78"/>
        <item x="166"/>
        <item x="71"/>
        <item m="1" x="224"/>
        <item m="1" x="204"/>
        <item x="63"/>
        <item m="1" x="233"/>
        <item x="96"/>
        <item m="1" x="242"/>
        <item x="129"/>
        <item x="40"/>
        <item m="1" x="280"/>
        <item x="154"/>
        <item x="90"/>
        <item m="1" x="306"/>
        <item m="1" x="277"/>
        <item x="33"/>
        <item m="1" x="194"/>
        <item m="1" x="251"/>
        <item x="147"/>
        <item m="1" x="211"/>
        <item m="1" x="255"/>
        <item m="1" x="263"/>
        <item m="1" x="227"/>
        <item x="115"/>
        <item x="177"/>
        <item x="59"/>
        <item m="1" x="214"/>
        <item x="142"/>
        <item m="1" x="217"/>
        <item m="1" x="287"/>
        <item m="1" x="230"/>
        <item x="67"/>
        <item x="5"/>
        <item x="81"/>
        <item x="111"/>
        <item x="173"/>
        <item x="26"/>
        <item m="1" x="188"/>
        <item m="1" x="238"/>
        <item x="143"/>
        <item x="158"/>
        <item m="1" x="219"/>
        <item m="1" x="191"/>
        <item m="1" x="258"/>
        <item x="29"/>
        <item x="9"/>
        <item m="1" x="234"/>
        <item x="48"/>
        <item x="35"/>
        <item m="1" x="260"/>
        <item x="121"/>
        <item x="140"/>
        <item m="1" x="285"/>
        <item x="50"/>
        <item x="80"/>
        <item x="13"/>
        <item m="1" x="229"/>
        <item m="1" x="252"/>
        <item x="100"/>
        <item m="1" x="276"/>
        <item x="34"/>
        <item m="1" x="218"/>
        <item x="146"/>
        <item x="128"/>
        <item x="120"/>
        <item x="60"/>
        <item x="30"/>
        <item m="1" x="199"/>
        <item m="1" x="270"/>
        <item x="125"/>
        <item x="95"/>
        <item m="1" x="275"/>
        <item m="1" x="243"/>
        <item x="55"/>
        <item x="172"/>
        <item x="56"/>
        <item x="169"/>
        <item x="157"/>
        <item x="155"/>
        <item x="86"/>
        <item x="116"/>
        <item x="24"/>
        <item x="150"/>
        <item x="178"/>
        <item m="1" x="304"/>
        <item m="1" x="245"/>
        <item m="1" x="182"/>
        <item m="1" x="305"/>
        <item m="1" x="207"/>
        <item m="1" x="203"/>
        <item x="162"/>
        <item x="46"/>
        <item x="114"/>
        <item m="1" x="289"/>
        <item x="52"/>
        <item x="8"/>
        <item x="77"/>
        <item m="1" x="220"/>
        <item x="61"/>
        <item x="168"/>
        <item m="1" x="288"/>
        <item m="1" x="215"/>
        <item m="1" x="184"/>
        <item x="148"/>
        <item m="1" x="297"/>
        <item x="159"/>
        <item x="72"/>
        <item m="1" x="272"/>
        <item x="118"/>
        <item m="1" x="206"/>
        <item m="1" x="292"/>
        <item m="1" x="269"/>
        <item x="122"/>
        <item x="167"/>
        <item x="70"/>
        <item x="47"/>
        <item x="88"/>
        <item m="1" x="248"/>
        <item x="134"/>
        <item m="1" x="268"/>
        <item x="137"/>
        <item m="1" x="298"/>
        <item m="1" x="294"/>
        <item m="1" x="239"/>
        <item m="1" x="265"/>
        <item x="126"/>
        <item x="73"/>
        <item m="1" x="274"/>
        <item x="105"/>
        <item x="43"/>
        <item m="1" x="200"/>
        <item m="1" x="209"/>
        <item x="62"/>
        <item m="1" x="254"/>
        <item x="141"/>
        <item x="3"/>
        <item x="89"/>
        <item x="53"/>
        <item m="1" x="185"/>
        <item x="51"/>
        <item x="94"/>
        <item x="152"/>
        <item x="136"/>
        <item m="1" x="240"/>
        <item m="1" x="236"/>
        <item x="45"/>
        <item x="144"/>
        <item m="1" x="247"/>
        <item x="6"/>
        <item m="1" x="290"/>
        <item m="1" x="284"/>
        <item x="19"/>
        <item x="92"/>
        <item m="1" x="190"/>
        <item m="1" x="212"/>
        <item m="1" x="196"/>
        <item m="1" x="307"/>
        <item x="38"/>
        <item x="36"/>
        <item x="107"/>
        <item x="113"/>
        <item x="37"/>
        <item x="10"/>
        <item x="22"/>
        <item x="82"/>
        <item x="65"/>
        <item x="98"/>
        <item x="99"/>
        <item x="31"/>
        <item x="27"/>
        <item x="84"/>
        <item x="28"/>
        <item x="0"/>
        <item x="20"/>
        <item x="41"/>
        <item x="1"/>
        <item x="4"/>
        <item x="2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6">
        <item x="2"/>
        <item x="1"/>
        <item x="0"/>
        <item x="3"/>
        <item h="1" x="4"/>
        <item t="default"/>
      </items>
    </pivotField>
  </pivotFields>
  <rowFields count="1">
    <field x="1"/>
  </rowFields>
  <rowItems count="181">
    <i>
      <x v="44"/>
    </i>
    <i>
      <x v="65"/>
    </i>
    <i>
      <x v="281"/>
    </i>
    <i>
      <x v="267"/>
    </i>
    <i>
      <x v="265"/>
    </i>
    <i>
      <x v="166"/>
    </i>
    <i>
      <x v="117"/>
    </i>
    <i>
      <x v="15"/>
    </i>
    <i>
      <x v="199"/>
    </i>
    <i>
      <x v="72"/>
    </i>
    <i>
      <x v="278"/>
    </i>
    <i>
      <x v="42"/>
    </i>
    <i>
      <x v="164"/>
    </i>
    <i>
      <x v="76"/>
    </i>
    <i>
      <x v="288"/>
    </i>
    <i>
      <x v="20"/>
    </i>
    <i>
      <x v="205"/>
    </i>
    <i>
      <x v="98"/>
    </i>
    <i>
      <x v="96"/>
    </i>
    <i>
      <x v="16"/>
    </i>
    <i>
      <x v="155"/>
    </i>
    <i>
      <x v="194"/>
    </i>
    <i>
      <x v="184"/>
    </i>
    <i>
      <x v="87"/>
    </i>
    <i>
      <x v="196"/>
    </i>
    <i>
      <x v="95"/>
    </i>
    <i>
      <x v="11"/>
    </i>
    <i>
      <x v="23"/>
    </i>
    <i>
      <x v="222"/>
    </i>
    <i>
      <x v="131"/>
    </i>
    <i>
      <x v="136"/>
    </i>
    <i>
      <x v="245"/>
    </i>
    <i>
      <x v="228"/>
    </i>
    <i>
      <x v="225"/>
    </i>
    <i>
      <x v="221"/>
    </i>
    <i>
      <x v="220"/>
    </i>
    <i>
      <x v="134"/>
    </i>
    <i>
      <x v="236"/>
    </i>
    <i>
      <x v="108"/>
    </i>
    <i>
      <x v="89"/>
    </i>
    <i>
      <x v="302"/>
    </i>
    <i>
      <x v="102"/>
    </i>
    <i>
      <x v="256"/>
    </i>
    <i>
      <x v="266"/>
    </i>
    <i>
      <x v="244"/>
    </i>
    <i>
      <x v="250"/>
    </i>
    <i>
      <x v="110"/>
    </i>
    <i>
      <x v="185"/>
    </i>
    <i>
      <x v="34"/>
    </i>
    <i>
      <x v="190"/>
    </i>
    <i>
      <x v="246"/>
    </i>
    <i>
      <x v="192"/>
    </i>
    <i>
      <x v="9"/>
    </i>
    <i>
      <x v="139"/>
    </i>
    <i>
      <x v="226"/>
    </i>
    <i>
      <x v="142"/>
    </i>
    <i>
      <x v="28"/>
    </i>
    <i>
      <x v="64"/>
    </i>
    <i>
      <x v="49"/>
    </i>
    <i>
      <x v="209"/>
    </i>
    <i>
      <x v="82"/>
    </i>
    <i>
      <x v="78"/>
    </i>
    <i>
      <x v="275"/>
    </i>
    <i>
      <x v="174"/>
    </i>
    <i>
      <x v="270"/>
    </i>
    <i>
      <x v="299"/>
    </i>
    <i>
      <x v="25"/>
    </i>
    <i>
      <x v="178"/>
    </i>
    <i>
      <x v="180"/>
    </i>
    <i>
      <x v="303"/>
    </i>
    <i>
      <x v="282"/>
    </i>
    <i>
      <x v="264"/>
    </i>
    <i>
      <x v="295"/>
    </i>
    <i>
      <x v="97"/>
    </i>
    <i>
      <x v="188"/>
    </i>
    <i>
      <x v="2"/>
    </i>
    <i>
      <x v="291"/>
    </i>
    <i>
      <x v="200"/>
    </i>
    <i>
      <x v="305"/>
    </i>
    <i>
      <x v="63"/>
    </i>
    <i>
      <x v="124"/>
    </i>
    <i>
      <x v="145"/>
    </i>
    <i>
      <x v="276"/>
    </i>
    <i>
      <x v="210"/>
    </i>
    <i>
      <x v="7"/>
    </i>
    <i>
      <x v="212"/>
    </i>
    <i>
      <x v="293"/>
    </i>
    <i>
      <x v="153"/>
    </i>
    <i>
      <x v="30"/>
    </i>
    <i>
      <x v="81"/>
    </i>
    <i>
      <x v="258"/>
    </i>
    <i>
      <x v="161"/>
    </i>
    <i>
      <x v="66"/>
    </i>
    <i>
      <x v="224"/>
    </i>
    <i>
      <x v="17"/>
    </i>
    <i>
      <x v="163"/>
    </i>
    <i>
      <x v="68"/>
    </i>
    <i>
      <x v="103"/>
    </i>
    <i>
      <x v="18"/>
    </i>
    <i>
      <x v="105"/>
    </i>
    <i>
      <x v="287"/>
    </i>
    <i>
      <x v="175"/>
    </i>
    <i>
      <x v="289"/>
    </i>
    <i>
      <x v="238"/>
    </i>
    <i>
      <x v="292"/>
    </i>
    <i>
      <x v="107"/>
    </i>
    <i>
      <x v="294"/>
    </i>
    <i>
      <x v="4"/>
    </i>
    <i>
      <x v="298"/>
    </i>
    <i>
      <x v="85"/>
    </i>
    <i>
      <x v="195"/>
    </i>
    <i>
      <x v="111"/>
    </i>
    <i>
      <x v="181"/>
    </i>
    <i>
      <x v="183"/>
    </i>
    <i>
      <x v="177"/>
    </i>
    <i>
      <x v="207"/>
    </i>
    <i>
      <x v="290"/>
    </i>
    <i>
      <x v="33"/>
    </i>
    <i>
      <x v="208"/>
    </i>
    <i>
      <x v="59"/>
    </i>
    <i>
      <x v="138"/>
    </i>
    <i>
      <x v="269"/>
    </i>
    <i>
      <x v="93"/>
    </i>
    <i>
      <x v="115"/>
    </i>
    <i>
      <x v="211"/>
    </i>
    <i>
      <x v="130"/>
    </i>
    <i>
      <x v="141"/>
    </i>
    <i>
      <x v="204"/>
    </i>
    <i>
      <x v="213"/>
    </i>
    <i>
      <x v="45"/>
    </i>
    <i>
      <x v="94"/>
    </i>
    <i>
      <x v="271"/>
    </i>
    <i>
      <x v="27"/>
    </i>
    <i>
      <x v="113"/>
    </i>
    <i>
      <x v="148"/>
    </i>
    <i>
      <x v="122"/>
    </i>
    <i>
      <x v="38"/>
    </i>
    <i>
      <x v="126"/>
    </i>
    <i>
      <x v="154"/>
    </i>
    <i>
      <x v="296"/>
    </i>
    <i>
      <x v="5"/>
    </i>
    <i>
      <x v="300"/>
    </i>
    <i>
      <x v="157"/>
    </i>
    <i>
      <x v="304"/>
    </i>
    <i>
      <x v="229"/>
    </i>
    <i>
      <x v="31"/>
    </i>
    <i>
      <x v="233"/>
    </i>
    <i>
      <x v="48"/>
    </i>
    <i>
      <x v="235"/>
    </i>
    <i>
      <x v="80"/>
    </i>
    <i>
      <x v="41"/>
    </i>
    <i>
      <x v="272"/>
    </i>
    <i>
      <x v="162"/>
    </i>
    <i>
      <x v="112"/>
    </i>
    <i>
      <x v="242"/>
    </i>
    <i>
      <x v="19"/>
    </i>
    <i>
      <x v="243"/>
    </i>
    <i>
      <x v="54"/>
    </i>
    <i>
      <x v="3"/>
    </i>
    <i>
      <x v="57"/>
    </i>
    <i>
      <x v="306"/>
    </i>
    <i>
      <x v="193"/>
    </i>
    <i>
      <x v="307"/>
    </i>
    <i>
      <x v="129"/>
    </i>
    <i>
      <x v="248"/>
    </i>
    <i>
      <x v="86"/>
    </i>
    <i>
      <x v="69"/>
    </i>
    <i>
      <x v="297"/>
    </i>
    <i>
      <x v="255"/>
    </i>
    <i>
      <x v="203"/>
    </i>
    <i>
      <x v="169"/>
    </i>
    <i>
      <x v="301"/>
    </i>
    <i>
      <x v="170"/>
    </i>
    <i>
      <x v="60"/>
    </i>
    <i>
      <x v="259"/>
    </i>
    <i>
      <x v="206"/>
    </i>
    <i>
      <x v="262"/>
    </i>
    <i>
      <x v="104"/>
    </i>
    <i>
      <x v="1"/>
    </i>
    <i>
      <x v="165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Nombre de nom_presc" fld="1" subtotal="count" baseField="0" baseItem="0"/>
  </dataFields>
  <formats count="19">
    <format dxfId="25">
      <pivotArea collapsedLevelsAreSubtotals="1" fieldPosition="0">
        <references count="2">
          <reference field="1" count="15">
            <x v="15"/>
            <x v="42"/>
            <x v="44"/>
            <x v="65"/>
            <x v="72"/>
            <x v="76"/>
            <x v="117"/>
            <x v="164"/>
            <x v="166"/>
            <x v="199"/>
            <x v="265"/>
            <x v="267"/>
            <x v="278"/>
            <x v="281"/>
            <x v="288"/>
          </reference>
          <reference field="2" count="0" selected="0"/>
        </references>
      </pivotArea>
    </format>
    <format dxfId="24">
      <pivotArea dataOnly="0" labelOnly="1" fieldPosition="0">
        <references count="1">
          <reference field="1" count="10">
            <x v="15"/>
            <x v="42"/>
            <x v="44"/>
            <x v="65"/>
            <x v="117"/>
            <x v="164"/>
            <x v="166"/>
            <x v="199"/>
            <x v="267"/>
            <x v="281"/>
          </reference>
        </references>
      </pivotArea>
    </format>
    <format dxfId="23">
      <pivotArea collapsedLevelsAreSubtotals="1" fieldPosition="0">
        <references count="2">
          <reference field="1" count="1">
            <x v="44"/>
          </reference>
          <reference field="2" count="1" selected="0">
            <x v="0"/>
          </reference>
        </references>
      </pivotArea>
    </format>
    <format dxfId="22">
      <pivotArea collapsedLevelsAreSubtotals="1" fieldPosition="0">
        <references count="2">
          <reference field="1" count="1">
            <x v="267"/>
          </reference>
          <reference field="2" count="1" selected="0">
            <x v="0"/>
          </reference>
        </references>
      </pivotArea>
    </format>
    <format dxfId="21">
      <pivotArea collapsedLevelsAreSubtotals="1" fieldPosition="0">
        <references count="2">
          <reference field="1" count="1">
            <x v="199"/>
          </reference>
          <reference field="2" count="1" selected="0">
            <x v="0"/>
          </reference>
        </references>
      </pivotArea>
    </format>
    <format dxfId="20">
      <pivotArea collapsedLevelsAreSubtotals="1" fieldPosition="0">
        <references count="2">
          <reference field="1" count="1">
            <x v="65"/>
          </reference>
          <reference field="2" count="1" selected="0">
            <x v="2"/>
          </reference>
        </references>
      </pivotArea>
    </format>
    <format dxfId="19">
      <pivotArea collapsedLevelsAreSubtotals="1" fieldPosition="0">
        <references count="2">
          <reference field="1" count="1">
            <x v="267"/>
          </reference>
          <reference field="2" count="1" selected="0">
            <x v="2"/>
          </reference>
        </references>
      </pivotArea>
    </format>
    <format dxfId="18">
      <pivotArea collapsedLevelsAreSubtotals="1" fieldPosition="0">
        <references count="2">
          <reference field="1" count="1">
            <x v="166"/>
          </reference>
          <reference field="2" count="1" selected="0">
            <x v="2"/>
          </reference>
        </references>
      </pivotArea>
    </format>
    <format dxfId="17">
      <pivotArea collapsedLevelsAreSubtotals="1" fieldPosition="0">
        <references count="2">
          <reference field="1" count="1">
            <x v="15"/>
          </reference>
          <reference field="2" count="1" selected="0">
            <x v="2"/>
          </reference>
        </references>
      </pivotArea>
    </format>
    <format dxfId="16">
      <pivotArea collapsedLevelsAreSubtotals="1" fieldPosition="0">
        <references count="2">
          <reference field="1" count="1">
            <x v="42"/>
          </reference>
          <reference field="2" count="1" selected="0">
            <x v="2"/>
          </reference>
        </references>
      </pivotArea>
    </format>
    <format dxfId="15">
      <pivotArea collapsedLevelsAreSubtotals="1" fieldPosition="0">
        <references count="2">
          <reference field="1" count="1">
            <x v="281"/>
          </reference>
          <reference field="2" count="1" selected="0">
            <x v="3"/>
          </reference>
        </references>
      </pivotArea>
    </format>
    <format dxfId="14">
      <pivotArea collapsedLevelsAreSubtotals="1" fieldPosition="0">
        <references count="2">
          <reference field="1" count="1">
            <x v="117"/>
          </reference>
          <reference field="2" count="1" selected="0">
            <x v="3"/>
          </reference>
        </references>
      </pivotArea>
    </format>
    <format dxfId="13">
      <pivotArea collapsedLevelsAreSubtotals="1" fieldPosition="0">
        <references count="2">
          <reference field="1" count="1">
            <x v="164"/>
          </reference>
          <reference field="2" count="1" selected="0">
            <x v="3"/>
          </reference>
        </references>
      </pivotArea>
    </format>
    <format dxfId="12">
      <pivotArea collapsedLevelsAreSubtotals="1" fieldPosition="0">
        <references count="2">
          <reference field="1" count="1">
            <x v="281"/>
          </reference>
          <reference field="2" count="1" selected="0">
            <x v="3"/>
          </reference>
        </references>
      </pivotArea>
    </format>
    <format dxfId="11">
      <pivotArea collapsedLevelsAreSubtotals="1" fieldPosition="0">
        <references count="2">
          <reference field="1" count="1">
            <x v="117"/>
          </reference>
          <reference field="2" count="1" selected="0">
            <x v="3"/>
          </reference>
        </references>
      </pivotArea>
    </format>
    <format dxfId="10">
      <pivotArea collapsedLevelsAreSubtotals="1" fieldPosition="0">
        <references count="2">
          <reference field="1" count="1">
            <x v="164"/>
          </reference>
          <reference field="2" count="1" selected="0">
            <x v="3"/>
          </reference>
        </references>
      </pivotArea>
    </format>
    <format dxfId="9">
      <pivotArea collapsedLevelsAreSubtotals="1" fieldPosition="0">
        <references count="2">
          <reference field="1" count="1">
            <x v="265"/>
          </reference>
          <reference field="2" count="1" selected="0">
            <x v="2"/>
          </reference>
        </references>
      </pivotArea>
    </format>
    <format dxfId="8">
      <pivotArea dataOnly="0" labelOnly="1" fieldPosition="0">
        <references count="1">
          <reference field="1" count="1">
            <x v="265"/>
          </reference>
        </references>
      </pivotArea>
    </format>
    <format dxfId="7">
      <pivotArea dataOnly="0" labelOnly="1" fieldPosition="0">
        <references count="1">
          <reference field="1" count="15">
            <x v="15"/>
            <x v="42"/>
            <x v="44"/>
            <x v="65"/>
            <x v="72"/>
            <x v="76"/>
            <x v="117"/>
            <x v="164"/>
            <x v="166"/>
            <x v="199"/>
            <x v="265"/>
            <x v="267"/>
            <x v="278"/>
            <x v="281"/>
            <x v="288"/>
          </reference>
        </references>
      </pivotArea>
    </format>
  </formats>
  <chartFormats count="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Light2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q" backgroundRefresh="0" refreshOnLoad="1" growShrinkType="insertClear" preserveFormatting="0" connectionId="1" xr16:uid="{FCC7A4DA-B707-D841-866E-7CEA87BEE14C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1">
    <pageSetUpPr fitToPage="1"/>
  </sheetPr>
  <dimension ref="B1:L25"/>
  <sheetViews>
    <sheetView showGridLines="0" showRowColHeaders="0" tabSelected="1" zoomScale="110" zoomScaleNormal="110" workbookViewId="0">
      <selection activeCell="O67" sqref="O67"/>
    </sheetView>
  </sheetViews>
  <sheetFormatPr baseColWidth="10" defaultColWidth="10.83203125" defaultRowHeight="16" x14ac:dyDescent="0.2"/>
  <cols>
    <col min="1" max="4" width="10.83203125" style="1"/>
    <col min="5" max="5" width="10.83203125" style="1" customWidth="1"/>
    <col min="6" max="6" width="12.5" style="1" bestFit="1" customWidth="1"/>
    <col min="7" max="16384" width="10.83203125" style="1"/>
  </cols>
  <sheetData>
    <row r="1" spans="2:12" ht="17" thickBot="1" x14ac:dyDescent="0.25"/>
    <row r="2" spans="2:12" x14ac:dyDescent="0.2">
      <c r="B2" s="72"/>
      <c r="C2" s="73"/>
      <c r="D2" s="73"/>
      <c r="E2" s="73"/>
      <c r="F2" s="74"/>
      <c r="H2" s="98" t="s">
        <v>1025</v>
      </c>
      <c r="I2" s="99"/>
      <c r="J2" s="99"/>
      <c r="K2" s="99"/>
      <c r="L2" s="100"/>
    </row>
    <row r="3" spans="2:12" x14ac:dyDescent="0.2">
      <c r="B3" s="75"/>
      <c r="F3" s="76"/>
      <c r="H3" s="101"/>
      <c r="I3" s="102"/>
      <c r="J3" s="102"/>
      <c r="K3" s="102"/>
      <c r="L3" s="103"/>
    </row>
    <row r="4" spans="2:12" x14ac:dyDescent="0.2">
      <c r="B4" s="75"/>
      <c r="F4" s="76"/>
      <c r="H4" s="101"/>
      <c r="I4" s="102"/>
      <c r="J4" s="102"/>
      <c r="K4" s="102"/>
      <c r="L4" s="103"/>
    </row>
    <row r="5" spans="2:12" ht="17" thickBot="1" x14ac:dyDescent="0.25">
      <c r="B5" s="77"/>
      <c r="C5" s="78"/>
      <c r="D5" s="78"/>
      <c r="E5" s="78"/>
      <c r="F5" s="79"/>
      <c r="H5" s="104"/>
      <c r="I5" s="105"/>
      <c r="J5" s="105"/>
      <c r="K5" s="105"/>
      <c r="L5" s="106"/>
    </row>
    <row r="6" spans="2:12" x14ac:dyDescent="0.2">
      <c r="E6" s="46"/>
    </row>
    <row r="7" spans="2:12" x14ac:dyDescent="0.2">
      <c r="B7" s="2" t="s">
        <v>469</v>
      </c>
      <c r="C7" s="3"/>
      <c r="D7" s="3"/>
      <c r="E7" s="107">
        <f>LARGE(Data!O:O,1)</f>
        <v>45958</v>
      </c>
      <c r="F7" s="108"/>
      <c r="H7" s="109" t="s">
        <v>412</v>
      </c>
      <c r="I7" s="110"/>
      <c r="J7" s="110"/>
      <c r="K7" s="110"/>
      <c r="L7" s="4"/>
    </row>
    <row r="8" spans="2:12" x14ac:dyDescent="0.2">
      <c r="B8" s="5"/>
      <c r="F8" s="6"/>
      <c r="H8" s="42"/>
      <c r="I8" s="7"/>
      <c r="J8" s="7"/>
      <c r="K8" s="7"/>
      <c r="L8" s="43"/>
    </row>
    <row r="9" spans="2:12" x14ac:dyDescent="0.2">
      <c r="B9" s="5" t="s">
        <v>39</v>
      </c>
      <c r="F9" s="28">
        <f>prescrits</f>
        <v>586</v>
      </c>
      <c r="H9" s="39" t="s">
        <v>125</v>
      </c>
      <c r="I9" s="7"/>
      <c r="J9" s="7"/>
      <c r="K9" s="7"/>
      <c r="L9" s="8">
        <f>Calculs!AB3</f>
        <v>339</v>
      </c>
    </row>
    <row r="10" spans="2:12" x14ac:dyDescent="0.2">
      <c r="B10" s="5" t="s">
        <v>40</v>
      </c>
      <c r="F10" s="29">
        <f>valides</f>
        <v>528</v>
      </c>
      <c r="H10" s="39" t="s">
        <v>118</v>
      </c>
      <c r="I10" s="7"/>
      <c r="J10" s="7"/>
      <c r="K10" s="7"/>
      <c r="L10" s="8">
        <f>Calculs!AB4</f>
        <v>135</v>
      </c>
    </row>
    <row r="11" spans="2:12" x14ac:dyDescent="0.2">
      <c r="B11" s="5" t="s">
        <v>41</v>
      </c>
      <c r="C11" s="9"/>
      <c r="D11" s="9"/>
      <c r="E11" s="9"/>
      <c r="F11" s="30">
        <f>refus</f>
        <v>41</v>
      </c>
      <c r="H11" s="39" t="s">
        <v>708</v>
      </c>
      <c r="I11" s="7"/>
      <c r="J11" s="7"/>
      <c r="K11" s="7"/>
      <c r="L11" s="8">
        <f>Calculs!AB5</f>
        <v>28</v>
      </c>
    </row>
    <row r="12" spans="2:12" x14ac:dyDescent="0.2">
      <c r="B12" s="10" t="s">
        <v>47</v>
      </c>
      <c r="F12" s="14">
        <f>Calculs!H2</f>
        <v>476</v>
      </c>
      <c r="H12" s="5"/>
      <c r="L12" s="6"/>
    </row>
    <row r="13" spans="2:12" x14ac:dyDescent="0.2">
      <c r="B13" s="10" t="s">
        <v>48</v>
      </c>
      <c r="F13" s="14">
        <f>Calculs!H3+Calculs!H4+Calculs!H5</f>
        <v>88</v>
      </c>
      <c r="H13" s="5"/>
      <c r="L13" s="6"/>
    </row>
    <row r="14" spans="2:12" x14ac:dyDescent="0.2">
      <c r="B14" s="5"/>
      <c r="C14" s="9"/>
      <c r="D14" s="9"/>
      <c r="E14" s="9"/>
      <c r="F14" s="6"/>
      <c r="H14" s="86"/>
      <c r="L14" s="87"/>
    </row>
    <row r="15" spans="2:12" x14ac:dyDescent="0.2">
      <c r="B15" s="11"/>
      <c r="C15" s="9"/>
      <c r="D15" s="9"/>
      <c r="E15" s="9"/>
      <c r="F15" s="31"/>
      <c r="H15" s="5"/>
      <c r="L15" s="6"/>
    </row>
    <row r="16" spans="2:12" x14ac:dyDescent="0.2">
      <c r="B16" s="12" t="s">
        <v>38</v>
      </c>
      <c r="C16" s="13"/>
      <c r="D16" s="13"/>
      <c r="E16" s="13"/>
      <c r="F16" s="32">
        <f>nonvalides</f>
        <v>17</v>
      </c>
      <c r="H16" s="96" t="s">
        <v>50</v>
      </c>
      <c r="I16" s="97"/>
      <c r="J16" s="97"/>
      <c r="K16" s="97"/>
      <c r="L16" s="14"/>
    </row>
    <row r="17" spans="2:12" x14ac:dyDescent="0.2">
      <c r="B17" s="5" t="s">
        <v>42</v>
      </c>
      <c r="F17" s="33">
        <f>COUNTA(Data!Q15:Q483)</f>
        <v>417</v>
      </c>
      <c r="H17" s="39" t="s">
        <v>45</v>
      </c>
      <c r="I17" s="15"/>
      <c r="J17" s="15"/>
      <c r="K17" s="15"/>
      <c r="L17" s="71">
        <f>Calculs!A18</f>
        <v>17.081932773109244</v>
      </c>
    </row>
    <row r="18" spans="2:12" x14ac:dyDescent="0.2">
      <c r="B18" s="5" t="s">
        <v>49</v>
      </c>
      <c r="F18" s="33">
        <f>COUNTIFS(Data!W15:W483,"&gt;0")</f>
        <v>403</v>
      </c>
      <c r="H18" s="39" t="s">
        <v>46</v>
      </c>
      <c r="I18" s="15"/>
      <c r="J18" s="15"/>
      <c r="K18" s="15"/>
      <c r="L18" s="71">
        <f>Calculs!A19</f>
        <v>2.2717497556207236</v>
      </c>
    </row>
    <row r="19" spans="2:12" x14ac:dyDescent="0.2">
      <c r="B19" s="16" t="s">
        <v>29</v>
      </c>
      <c r="C19" s="17"/>
      <c r="D19" s="17"/>
      <c r="E19" s="17"/>
      <c r="F19" s="34">
        <f>ferme</f>
        <v>311</v>
      </c>
      <c r="H19" s="40" t="s">
        <v>51</v>
      </c>
      <c r="L19" s="6"/>
    </row>
    <row r="20" spans="2:12" x14ac:dyDescent="0.2">
      <c r="B20" s="18" t="s">
        <v>43</v>
      </c>
      <c r="C20" s="19"/>
      <c r="D20" s="19"/>
      <c r="E20" s="19"/>
      <c r="F20" s="35">
        <f>F9-F10-F11-F16</f>
        <v>0</v>
      </c>
      <c r="H20" s="5"/>
      <c r="I20" s="9"/>
      <c r="J20" s="9"/>
      <c r="L20" s="6"/>
    </row>
    <row r="21" spans="2:12" x14ac:dyDescent="0.2">
      <c r="B21" s="5"/>
      <c r="F21" s="6"/>
      <c r="H21" s="96" t="s">
        <v>467</v>
      </c>
      <c r="I21" s="97"/>
      <c r="J21" s="97"/>
      <c r="K21" s="97"/>
      <c r="L21" s="71">
        <f>Calculs!A20</f>
        <v>10</v>
      </c>
    </row>
    <row r="22" spans="2:12" x14ac:dyDescent="0.2">
      <c r="B22" s="10" t="s">
        <v>44</v>
      </c>
      <c r="C22" s="20"/>
      <c r="D22" s="20"/>
      <c r="E22" s="20"/>
      <c r="F22" s="36"/>
      <c r="H22" s="40" t="s">
        <v>51</v>
      </c>
      <c r="L22" s="6"/>
    </row>
    <row r="23" spans="2:12" x14ac:dyDescent="0.2">
      <c r="B23" s="21" t="s">
        <v>19</v>
      </c>
      <c r="C23" s="15"/>
      <c r="D23" s="15"/>
      <c r="E23" s="22">
        <f>nbrrqth</f>
        <v>150</v>
      </c>
      <c r="F23" s="37">
        <f>perrqth</f>
        <v>0.25597269624573377</v>
      </c>
      <c r="H23" s="5"/>
      <c r="L23" s="6"/>
    </row>
    <row r="24" spans="2:12" x14ac:dyDescent="0.2">
      <c r="B24" s="21" t="s">
        <v>20</v>
      </c>
      <c r="C24" s="15"/>
      <c r="D24" s="15"/>
      <c r="E24" s="22">
        <f>nbrrsa</f>
        <v>546</v>
      </c>
      <c r="F24" s="37">
        <f>perrsa</f>
        <v>0.93174061433447097</v>
      </c>
      <c r="H24" s="96" t="s">
        <v>466</v>
      </c>
      <c r="I24" s="97"/>
      <c r="J24" s="97"/>
      <c r="K24" s="97"/>
      <c r="L24" s="71">
        <f>Calculs!A21</f>
        <v>17</v>
      </c>
    </row>
    <row r="25" spans="2:12" x14ac:dyDescent="0.2">
      <c r="B25" s="23" t="s">
        <v>21</v>
      </c>
      <c r="C25" s="24"/>
      <c r="D25" s="24"/>
      <c r="E25" s="25">
        <f>nbrpe</f>
        <v>348</v>
      </c>
      <c r="F25" s="38">
        <f>Calculs!A16</f>
        <v>0.59385665529010234</v>
      </c>
      <c r="H25" s="41" t="s">
        <v>51</v>
      </c>
      <c r="I25" s="26"/>
      <c r="J25" s="26"/>
      <c r="K25" s="26"/>
      <c r="L25" s="27"/>
    </row>
  </sheetData>
  <sheetProtection selectLockedCells="1" selectUnlockedCells="1"/>
  <mergeCells count="6">
    <mergeCell ref="H24:K24"/>
    <mergeCell ref="H2:L5"/>
    <mergeCell ref="E7:F7"/>
    <mergeCell ref="H7:K7"/>
    <mergeCell ref="H16:K16"/>
    <mergeCell ref="H21:K21"/>
  </mergeCells>
  <phoneticPr fontId="13" type="noConversion"/>
  <pageMargins left="0.25" right="0.25" top="0.75" bottom="0.75" header="0.3" footer="0.3"/>
  <pageSetup paperSize="9" scale="65" fitToHeight="0" orientation="portrait" r:id="rId1"/>
  <rowBreaks count="1" manualBreakCount="1">
    <brk id="68" max="16383" man="1"/>
  </rowBreaks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"/>
  <dimension ref="A1:AC587"/>
  <sheetViews>
    <sheetView zoomScaleNormal="100" workbookViewId="0">
      <pane xSplit="3" ySplit="1" topLeftCell="D171" activePane="bottomRight" state="frozen"/>
      <selection pane="topRight" activeCell="D1" sqref="D1"/>
      <selection pane="bottomLeft" activeCell="A2" sqref="A2"/>
      <selection pane="bottomRight" sqref="A1:XFD1"/>
    </sheetView>
  </sheetViews>
  <sheetFormatPr baseColWidth="10" defaultColWidth="11" defaultRowHeight="14" x14ac:dyDescent="0.2"/>
  <cols>
    <col min="1" max="1" width="5" style="45" bestFit="1" customWidth="1"/>
    <col min="2" max="2" width="12.33203125" style="45" bestFit="1" customWidth="1"/>
    <col min="3" max="3" width="20.33203125" style="45" bestFit="1" customWidth="1"/>
    <col min="4" max="4" width="9.1640625" style="45" bestFit="1" customWidth="1"/>
    <col min="5" max="5" width="3.6640625" style="45" bestFit="1" customWidth="1"/>
    <col min="6" max="6" width="3.83203125" style="45" bestFit="1" customWidth="1"/>
    <col min="7" max="7" width="9.33203125" style="45" bestFit="1" customWidth="1"/>
    <col min="8" max="8" width="3.83203125" style="45" bestFit="1" customWidth="1"/>
    <col min="9" max="9" width="10.83203125" style="45" bestFit="1" customWidth="1"/>
    <col min="10" max="10" width="12.33203125" style="45" bestFit="1" customWidth="1"/>
    <col min="11" max="11" width="19.33203125" style="45" bestFit="1" customWidth="1"/>
    <col min="12" max="12" width="3.1640625" style="45" bestFit="1" customWidth="1"/>
    <col min="13" max="13" width="4.1640625" style="45" bestFit="1" customWidth="1"/>
    <col min="14" max="14" width="26" style="45" bestFit="1" customWidth="1"/>
    <col min="15" max="15" width="12.6640625" style="45" bestFit="1" customWidth="1"/>
    <col min="16" max="16" width="11.5" style="45" bestFit="1" customWidth="1"/>
    <col min="17" max="20" width="9.1640625" style="45" bestFit="1" customWidth="1"/>
    <col min="21" max="21" width="27.5" style="45" bestFit="1" customWidth="1"/>
    <col min="22" max="22" width="17" style="45" bestFit="1" customWidth="1"/>
    <col min="23" max="23" width="3" style="45" bestFit="1" customWidth="1"/>
    <col min="24" max="24" width="13.5" style="45" bestFit="1" customWidth="1"/>
    <col min="25" max="28" width="9.1640625" style="85" bestFit="1" customWidth="1"/>
    <col min="29" max="29" width="13.33203125" style="85" customWidth="1"/>
    <col min="30" max="16384" width="11" style="45"/>
  </cols>
  <sheetData>
    <row r="1" spans="1:29" s="84" customFormat="1" x14ac:dyDescent="0.2">
      <c r="A1" s="90" t="s">
        <v>77</v>
      </c>
      <c r="B1" s="90" t="s">
        <v>457</v>
      </c>
      <c r="C1" s="90" t="s">
        <v>78</v>
      </c>
      <c r="D1" s="90" t="s">
        <v>458</v>
      </c>
      <c r="E1" s="90" t="s">
        <v>79</v>
      </c>
      <c r="F1" s="90" t="s">
        <v>88</v>
      </c>
      <c r="G1" s="90" t="s">
        <v>89</v>
      </c>
      <c r="H1" s="90" t="s">
        <v>75</v>
      </c>
      <c r="I1" s="90" t="s">
        <v>76</v>
      </c>
      <c r="J1" s="90" t="s">
        <v>81</v>
      </c>
      <c r="K1" s="90" t="s">
        <v>82</v>
      </c>
      <c r="L1" s="90" t="s">
        <v>74</v>
      </c>
      <c r="M1" s="90" t="s">
        <v>80</v>
      </c>
      <c r="N1" s="90" t="s">
        <v>86</v>
      </c>
      <c r="O1" s="90" t="s">
        <v>459</v>
      </c>
      <c r="P1" s="90" t="s">
        <v>83</v>
      </c>
      <c r="Q1" s="90" t="s">
        <v>58</v>
      </c>
      <c r="R1" s="90" t="s">
        <v>59</v>
      </c>
      <c r="S1" s="90" t="s">
        <v>84</v>
      </c>
      <c r="T1" s="90" t="s">
        <v>85</v>
      </c>
      <c r="U1" s="90" t="s">
        <v>87</v>
      </c>
      <c r="V1" s="90" t="s">
        <v>73</v>
      </c>
      <c r="W1" s="90" t="s">
        <v>100</v>
      </c>
      <c r="X1" s="90" t="s">
        <v>456</v>
      </c>
      <c r="Y1" s="90" t="s">
        <v>1429</v>
      </c>
      <c r="Z1" s="90" t="s">
        <v>1430</v>
      </c>
      <c r="AA1" s="90" t="s">
        <v>1431</v>
      </c>
      <c r="AB1" s="90" t="s">
        <v>1432</v>
      </c>
      <c r="AC1" s="90" t="s">
        <v>468</v>
      </c>
    </row>
    <row r="2" spans="1:29" customFormat="1" ht="16" x14ac:dyDescent="0.2">
      <c r="A2" s="90" t="s">
        <v>1</v>
      </c>
      <c r="B2" s="90" t="s">
        <v>1495</v>
      </c>
      <c r="C2" s="90" t="s">
        <v>1496</v>
      </c>
      <c r="D2" s="91">
        <v>23602</v>
      </c>
      <c r="E2" s="90">
        <v>61</v>
      </c>
      <c r="F2" s="90" t="s">
        <v>11</v>
      </c>
      <c r="G2" s="90" t="s">
        <v>10</v>
      </c>
      <c r="H2" s="90" t="s">
        <v>10</v>
      </c>
      <c r="I2" s="91">
        <v>45870</v>
      </c>
      <c r="J2" s="90" t="s">
        <v>451</v>
      </c>
      <c r="K2" s="90" t="s">
        <v>626</v>
      </c>
      <c r="L2" s="90" t="s">
        <v>7</v>
      </c>
      <c r="M2" s="90" t="s">
        <v>6</v>
      </c>
      <c r="N2" s="88"/>
      <c r="O2" s="91">
        <v>45958</v>
      </c>
      <c r="P2" s="88"/>
      <c r="Q2" s="88"/>
      <c r="R2" s="88"/>
      <c r="S2" s="88"/>
      <c r="T2" s="88"/>
      <c r="U2" s="88"/>
      <c r="V2" s="90" t="s">
        <v>341</v>
      </c>
      <c r="W2" s="90">
        <v>0</v>
      </c>
      <c r="X2" s="88"/>
      <c r="Y2" s="88"/>
      <c r="Z2" s="88"/>
      <c r="AA2" s="88"/>
      <c r="AB2" s="88"/>
      <c r="AC2" s="92">
        <v>45958.448611111111</v>
      </c>
    </row>
    <row r="3" spans="1:29" customFormat="1" ht="16" x14ac:dyDescent="0.2">
      <c r="A3" s="90" t="s">
        <v>1</v>
      </c>
      <c r="B3" s="90" t="s">
        <v>751</v>
      </c>
      <c r="C3" s="90" t="s">
        <v>752</v>
      </c>
      <c r="D3" s="91">
        <v>26399</v>
      </c>
      <c r="E3" s="90">
        <v>53</v>
      </c>
      <c r="F3" s="90" t="s">
        <v>10</v>
      </c>
      <c r="G3" s="90" t="s">
        <v>10</v>
      </c>
      <c r="H3" s="90" t="s">
        <v>10</v>
      </c>
      <c r="I3" s="91">
        <v>45352</v>
      </c>
      <c r="J3" s="90" t="s">
        <v>212</v>
      </c>
      <c r="K3" s="90" t="s">
        <v>213</v>
      </c>
      <c r="L3" s="90" t="s">
        <v>5</v>
      </c>
      <c r="M3" s="90" t="s">
        <v>6</v>
      </c>
      <c r="N3" s="88"/>
      <c r="O3" s="91">
        <v>45958</v>
      </c>
      <c r="P3" s="88"/>
      <c r="Q3" s="88"/>
      <c r="R3" s="88"/>
      <c r="S3" s="88"/>
      <c r="T3" s="88"/>
      <c r="U3" s="88"/>
      <c r="V3" s="90" t="s">
        <v>341</v>
      </c>
      <c r="W3" s="90">
        <v>0</v>
      </c>
      <c r="X3" s="88"/>
      <c r="Y3" s="88"/>
      <c r="Z3" s="88"/>
      <c r="AA3" s="88"/>
      <c r="AB3" s="88"/>
      <c r="AC3" s="92">
        <v>45958.414583333331</v>
      </c>
    </row>
    <row r="4" spans="1:29" customFormat="1" ht="16" x14ac:dyDescent="0.2">
      <c r="A4" s="90" t="s">
        <v>1</v>
      </c>
      <c r="B4" s="90" t="s">
        <v>1497</v>
      </c>
      <c r="C4" s="90" t="s">
        <v>1498</v>
      </c>
      <c r="D4" s="91">
        <v>35358</v>
      </c>
      <c r="E4" s="90">
        <v>29</v>
      </c>
      <c r="F4" s="90" t="s">
        <v>10</v>
      </c>
      <c r="G4" s="90" t="s">
        <v>10</v>
      </c>
      <c r="H4" s="90" t="s">
        <v>10</v>
      </c>
      <c r="I4" s="91">
        <v>45383</v>
      </c>
      <c r="J4" s="90" t="s">
        <v>1477</v>
      </c>
      <c r="K4" s="90" t="s">
        <v>1478</v>
      </c>
      <c r="L4" s="90" t="s">
        <v>5</v>
      </c>
      <c r="M4" s="90" t="s">
        <v>6</v>
      </c>
      <c r="N4" s="88"/>
      <c r="O4" s="91">
        <v>45957</v>
      </c>
      <c r="P4" s="88"/>
      <c r="Q4" s="88"/>
      <c r="R4" s="88"/>
      <c r="S4" s="88"/>
      <c r="T4" s="88"/>
      <c r="U4" s="88"/>
      <c r="V4" s="90" t="s">
        <v>341</v>
      </c>
      <c r="W4" s="90">
        <v>0</v>
      </c>
      <c r="X4" s="88"/>
      <c r="Y4" s="88"/>
      <c r="Z4" s="88"/>
      <c r="AA4" s="88"/>
      <c r="AB4" s="88"/>
      <c r="AC4" s="92">
        <v>45957.489583333336</v>
      </c>
    </row>
    <row r="5" spans="1:29" customFormat="1" ht="16" x14ac:dyDescent="0.2">
      <c r="A5" s="90" t="s">
        <v>1</v>
      </c>
      <c r="B5" s="90" t="s">
        <v>1499</v>
      </c>
      <c r="C5" s="90" t="s">
        <v>1500</v>
      </c>
      <c r="D5" s="91">
        <v>28812</v>
      </c>
      <c r="E5" s="90">
        <v>47</v>
      </c>
      <c r="F5" s="90" t="s">
        <v>11</v>
      </c>
      <c r="G5" s="90" t="s">
        <v>10</v>
      </c>
      <c r="H5" s="90" t="s">
        <v>10</v>
      </c>
      <c r="I5" s="91">
        <v>36404</v>
      </c>
      <c r="J5" s="88"/>
      <c r="K5" s="90" t="s">
        <v>1501</v>
      </c>
      <c r="L5" s="90" t="s">
        <v>3</v>
      </c>
      <c r="M5" s="90" t="s">
        <v>1502</v>
      </c>
      <c r="N5" s="88"/>
      <c r="O5" s="91">
        <v>45953</v>
      </c>
      <c r="P5" s="88"/>
      <c r="Q5" s="88"/>
      <c r="R5" s="88"/>
      <c r="S5" s="88"/>
      <c r="T5" s="88"/>
      <c r="U5" s="88"/>
      <c r="V5" s="90" t="s">
        <v>227</v>
      </c>
      <c r="W5" s="90">
        <v>0</v>
      </c>
      <c r="X5" s="88"/>
      <c r="Y5" s="88"/>
      <c r="Z5" s="88"/>
      <c r="AA5" s="88"/>
      <c r="AB5" s="88"/>
      <c r="AC5" s="92">
        <v>45953.824305555558</v>
      </c>
    </row>
    <row r="6" spans="1:29" customFormat="1" ht="16" x14ac:dyDescent="0.2">
      <c r="A6" s="90" t="s">
        <v>1</v>
      </c>
      <c r="B6" s="90" t="s">
        <v>1503</v>
      </c>
      <c r="C6" s="90" t="s">
        <v>1504</v>
      </c>
      <c r="D6" s="91">
        <v>27051</v>
      </c>
      <c r="E6" s="90">
        <v>51</v>
      </c>
      <c r="F6" s="90" t="s">
        <v>11</v>
      </c>
      <c r="G6" s="90" t="s">
        <v>11</v>
      </c>
      <c r="H6" s="90" t="s">
        <v>10</v>
      </c>
      <c r="I6" s="91">
        <v>45908</v>
      </c>
      <c r="J6" s="90" t="s">
        <v>583</v>
      </c>
      <c r="K6" s="90" t="s">
        <v>332</v>
      </c>
      <c r="L6" s="90" t="s">
        <v>3</v>
      </c>
      <c r="M6" s="90" t="s">
        <v>6</v>
      </c>
      <c r="N6" s="90" t="s">
        <v>119</v>
      </c>
      <c r="O6" s="91">
        <v>45953</v>
      </c>
      <c r="P6" s="91">
        <v>45953</v>
      </c>
      <c r="Q6" s="91">
        <v>45957</v>
      </c>
      <c r="R6" s="91">
        <v>45957</v>
      </c>
      <c r="S6" s="91">
        <v>45957</v>
      </c>
      <c r="T6" s="88"/>
      <c r="U6" s="88"/>
      <c r="V6" s="90" t="s">
        <v>32</v>
      </c>
      <c r="W6" s="90">
        <v>1</v>
      </c>
      <c r="X6" s="90" t="s">
        <v>118</v>
      </c>
      <c r="Y6" s="91">
        <v>45931</v>
      </c>
      <c r="Z6" s="91">
        <v>46112</v>
      </c>
      <c r="AA6" s="88"/>
      <c r="AB6" s="88"/>
      <c r="AC6" s="92">
        <v>45957.65347222222</v>
      </c>
    </row>
    <row r="7" spans="1:29" customFormat="1" ht="16" x14ac:dyDescent="0.2">
      <c r="A7" s="90" t="s">
        <v>1</v>
      </c>
      <c r="B7" s="90" t="s">
        <v>568</v>
      </c>
      <c r="C7" s="90" t="s">
        <v>1489</v>
      </c>
      <c r="D7" s="91">
        <v>33361</v>
      </c>
      <c r="E7" s="90">
        <v>34</v>
      </c>
      <c r="F7" s="90" t="s">
        <v>11</v>
      </c>
      <c r="G7" s="90" t="s">
        <v>10</v>
      </c>
      <c r="H7" s="90" t="s">
        <v>10</v>
      </c>
      <c r="I7" s="91">
        <v>45689</v>
      </c>
      <c r="J7" s="90" t="s">
        <v>409</v>
      </c>
      <c r="K7" s="90" t="s">
        <v>959</v>
      </c>
      <c r="L7" s="90" t="s">
        <v>7</v>
      </c>
      <c r="M7" s="90" t="s">
        <v>6</v>
      </c>
      <c r="N7" s="90" t="s">
        <v>120</v>
      </c>
      <c r="O7" s="91">
        <v>45952</v>
      </c>
      <c r="P7" s="91">
        <v>45952</v>
      </c>
      <c r="Q7" s="91">
        <v>45957</v>
      </c>
      <c r="R7" s="91">
        <v>45958</v>
      </c>
      <c r="S7" s="91">
        <v>45958</v>
      </c>
      <c r="T7" s="88"/>
      <c r="U7" s="88"/>
      <c r="V7" s="90" t="s">
        <v>32</v>
      </c>
      <c r="W7" s="90">
        <v>1</v>
      </c>
      <c r="X7" s="90" t="s">
        <v>228</v>
      </c>
      <c r="Y7" s="91">
        <v>45931</v>
      </c>
      <c r="Z7" s="91">
        <v>46112</v>
      </c>
      <c r="AA7" s="88"/>
      <c r="AB7" s="88"/>
      <c r="AC7" s="92">
        <v>45958.598611111112</v>
      </c>
    </row>
    <row r="8" spans="1:29" customFormat="1" ht="16" x14ac:dyDescent="0.2">
      <c r="A8" s="90" t="s">
        <v>0</v>
      </c>
      <c r="B8" s="90" t="s">
        <v>1490</v>
      </c>
      <c r="C8" s="90" t="s">
        <v>1491</v>
      </c>
      <c r="D8" s="91">
        <v>24577</v>
      </c>
      <c r="E8" s="90">
        <v>58</v>
      </c>
      <c r="F8" s="90" t="s">
        <v>10</v>
      </c>
      <c r="G8" s="90" t="s">
        <v>10</v>
      </c>
      <c r="H8" s="90" t="s">
        <v>10</v>
      </c>
      <c r="I8" s="91">
        <v>45292</v>
      </c>
      <c r="J8" s="90" t="s">
        <v>275</v>
      </c>
      <c r="K8" s="90" t="s">
        <v>115</v>
      </c>
      <c r="L8" s="90" t="s">
        <v>4</v>
      </c>
      <c r="M8" s="90" t="s">
        <v>6</v>
      </c>
      <c r="N8" s="88"/>
      <c r="O8" s="91">
        <v>45950</v>
      </c>
      <c r="P8" s="91">
        <v>45953</v>
      </c>
      <c r="Q8" s="91">
        <v>45957</v>
      </c>
      <c r="R8" s="91">
        <v>45964</v>
      </c>
      <c r="S8" s="88"/>
      <c r="T8" s="88"/>
      <c r="U8" s="88"/>
      <c r="V8" s="90" t="s">
        <v>32</v>
      </c>
      <c r="W8" s="90">
        <v>1</v>
      </c>
      <c r="X8" s="90" t="s">
        <v>228</v>
      </c>
      <c r="Y8" s="88"/>
      <c r="Z8" s="88"/>
      <c r="AA8" s="88"/>
      <c r="AB8" s="88"/>
      <c r="AC8" s="92">
        <v>45957.419444444444</v>
      </c>
    </row>
    <row r="9" spans="1:29" customFormat="1" ht="16" x14ac:dyDescent="0.2">
      <c r="A9" s="90" t="s">
        <v>1</v>
      </c>
      <c r="B9" s="90" t="s">
        <v>611</v>
      </c>
      <c r="C9" s="90" t="s">
        <v>612</v>
      </c>
      <c r="D9" s="91">
        <v>23751</v>
      </c>
      <c r="E9" s="90">
        <v>60</v>
      </c>
      <c r="F9" s="88"/>
      <c r="G9" s="90" t="s">
        <v>10</v>
      </c>
      <c r="H9" s="90" t="s">
        <v>10</v>
      </c>
      <c r="I9" s="91">
        <v>45536</v>
      </c>
      <c r="J9" s="90" t="s">
        <v>241</v>
      </c>
      <c r="K9" s="90" t="s">
        <v>1122</v>
      </c>
      <c r="L9" s="90" t="s">
        <v>7</v>
      </c>
      <c r="M9" s="90" t="s">
        <v>6</v>
      </c>
      <c r="N9" s="88"/>
      <c r="O9" s="91">
        <v>45947</v>
      </c>
      <c r="P9" s="88"/>
      <c r="Q9" s="88"/>
      <c r="R9" s="88"/>
      <c r="S9" s="88"/>
      <c r="T9" s="88"/>
      <c r="U9" s="88"/>
      <c r="V9" s="90" t="s">
        <v>341</v>
      </c>
      <c r="W9" s="90">
        <v>0</v>
      </c>
      <c r="X9" s="88"/>
      <c r="Y9" s="88"/>
      <c r="Z9" s="88"/>
      <c r="AA9" s="88"/>
      <c r="AB9" s="88"/>
      <c r="AC9" s="92">
        <v>45947.513888888891</v>
      </c>
    </row>
    <row r="10" spans="1:29" customFormat="1" ht="16" x14ac:dyDescent="0.2">
      <c r="A10" s="90" t="s">
        <v>1</v>
      </c>
      <c r="B10" s="90" t="s">
        <v>1486</v>
      </c>
      <c r="C10" s="90" t="s">
        <v>1487</v>
      </c>
      <c r="D10" s="91">
        <v>28933</v>
      </c>
      <c r="E10" s="90">
        <v>46</v>
      </c>
      <c r="F10" s="90" t="s">
        <v>11</v>
      </c>
      <c r="G10" s="90" t="s">
        <v>10</v>
      </c>
      <c r="H10" s="90" t="s">
        <v>10</v>
      </c>
      <c r="I10" s="91">
        <v>43525</v>
      </c>
      <c r="J10" s="90" t="s">
        <v>1371</v>
      </c>
      <c r="K10" s="90" t="s">
        <v>1372</v>
      </c>
      <c r="L10" s="90" t="s">
        <v>7</v>
      </c>
      <c r="M10" s="90" t="s">
        <v>6</v>
      </c>
      <c r="N10" s="88"/>
      <c r="O10" s="91">
        <v>45945</v>
      </c>
      <c r="P10" s="91">
        <v>45952</v>
      </c>
      <c r="Q10" s="88"/>
      <c r="R10" s="88"/>
      <c r="S10" s="88"/>
      <c r="T10" s="88"/>
      <c r="U10" s="88"/>
      <c r="V10" s="90" t="s">
        <v>227</v>
      </c>
      <c r="W10" s="90">
        <v>0</v>
      </c>
      <c r="X10" s="88"/>
      <c r="Y10" s="88"/>
      <c r="Z10" s="88"/>
      <c r="AA10" s="88"/>
      <c r="AB10" s="88"/>
      <c r="AC10" s="92">
        <v>45952.708333333336</v>
      </c>
    </row>
    <row r="11" spans="1:29" customFormat="1" ht="16" x14ac:dyDescent="0.2">
      <c r="A11" s="90" t="s">
        <v>0</v>
      </c>
      <c r="B11" s="90" t="s">
        <v>322</v>
      </c>
      <c r="C11" s="90" t="s">
        <v>1487</v>
      </c>
      <c r="D11" s="91">
        <v>29718</v>
      </c>
      <c r="E11" s="90">
        <v>44</v>
      </c>
      <c r="F11" s="90" t="s">
        <v>11</v>
      </c>
      <c r="G11" s="90" t="s">
        <v>10</v>
      </c>
      <c r="H11" s="90" t="s">
        <v>10</v>
      </c>
      <c r="I11" s="91">
        <v>43525</v>
      </c>
      <c r="J11" s="90" t="s">
        <v>1371</v>
      </c>
      <c r="K11" s="90" t="s">
        <v>1372</v>
      </c>
      <c r="L11" s="90" t="s">
        <v>7</v>
      </c>
      <c r="M11" s="90" t="s">
        <v>6</v>
      </c>
      <c r="N11" s="88"/>
      <c r="O11" s="91">
        <v>45945</v>
      </c>
      <c r="P11" s="88"/>
      <c r="Q11" s="88"/>
      <c r="R11" s="88"/>
      <c r="S11" s="88"/>
      <c r="T11" s="88"/>
      <c r="U11" s="88"/>
      <c r="V11" s="90" t="s">
        <v>227</v>
      </c>
      <c r="W11" s="90">
        <v>0</v>
      </c>
      <c r="X11" s="88"/>
      <c r="Y11" s="88"/>
      <c r="Z11" s="88"/>
      <c r="AA11" s="88"/>
      <c r="AB11" s="88"/>
      <c r="AC11" s="92">
        <v>45952.706250000003</v>
      </c>
    </row>
    <row r="12" spans="1:29" customFormat="1" ht="16" x14ac:dyDescent="0.2">
      <c r="A12" s="90" t="s">
        <v>1</v>
      </c>
      <c r="B12" s="90" t="s">
        <v>1011</v>
      </c>
      <c r="C12" s="90" t="s">
        <v>1488</v>
      </c>
      <c r="D12" s="91">
        <v>25762</v>
      </c>
      <c r="E12" s="90">
        <v>55</v>
      </c>
      <c r="F12" s="90" t="s">
        <v>10</v>
      </c>
      <c r="G12" s="90" t="s">
        <v>10</v>
      </c>
      <c r="H12" s="90" t="s">
        <v>10</v>
      </c>
      <c r="I12" s="91">
        <v>42248</v>
      </c>
      <c r="J12" s="90" t="s">
        <v>1453</v>
      </c>
      <c r="K12" s="90" t="s">
        <v>1454</v>
      </c>
      <c r="L12" s="90" t="s">
        <v>5</v>
      </c>
      <c r="M12" s="90" t="s">
        <v>6</v>
      </c>
      <c r="N12" s="88"/>
      <c r="O12" s="91">
        <v>45945</v>
      </c>
      <c r="P12" s="88"/>
      <c r="Q12" s="88"/>
      <c r="R12" s="88"/>
      <c r="S12" s="88"/>
      <c r="T12" s="88"/>
      <c r="U12" s="88"/>
      <c r="V12" s="90" t="s">
        <v>341</v>
      </c>
      <c r="W12" s="90">
        <v>0</v>
      </c>
      <c r="X12" s="88"/>
      <c r="Y12" s="88"/>
      <c r="Z12" s="88"/>
      <c r="AA12" s="88"/>
      <c r="AB12" s="88"/>
      <c r="AC12" s="92">
        <v>45945.487500000003</v>
      </c>
    </row>
    <row r="13" spans="1:29" customFormat="1" ht="16" x14ac:dyDescent="0.2">
      <c r="A13" s="90" t="s">
        <v>0</v>
      </c>
      <c r="B13" s="90" t="s">
        <v>237</v>
      </c>
      <c r="C13" s="90" t="s">
        <v>1492</v>
      </c>
      <c r="D13" s="91">
        <v>24035</v>
      </c>
      <c r="E13" s="90">
        <v>60</v>
      </c>
      <c r="F13" s="90" t="s">
        <v>11</v>
      </c>
      <c r="G13" s="90" t="s">
        <v>10</v>
      </c>
      <c r="H13" s="90" t="s">
        <v>10</v>
      </c>
      <c r="I13" s="91">
        <v>45487</v>
      </c>
      <c r="J13" s="90" t="s">
        <v>165</v>
      </c>
      <c r="K13" s="90" t="s">
        <v>166</v>
      </c>
      <c r="L13" s="90" t="s">
        <v>3</v>
      </c>
      <c r="M13" s="90" t="s">
        <v>6</v>
      </c>
      <c r="N13" s="90" t="s">
        <v>175</v>
      </c>
      <c r="O13" s="91">
        <v>45945</v>
      </c>
      <c r="P13" s="91">
        <v>45947</v>
      </c>
      <c r="Q13" s="91">
        <v>45950</v>
      </c>
      <c r="R13" s="91">
        <v>45952</v>
      </c>
      <c r="S13" s="91">
        <v>45952</v>
      </c>
      <c r="T13" s="88"/>
      <c r="U13" s="88"/>
      <c r="V13" s="90" t="s">
        <v>32</v>
      </c>
      <c r="W13" s="90">
        <v>2</v>
      </c>
      <c r="X13" s="90" t="s">
        <v>228</v>
      </c>
      <c r="Y13" s="91">
        <v>45931</v>
      </c>
      <c r="Z13" s="91">
        <v>46112</v>
      </c>
      <c r="AA13" s="88"/>
      <c r="AB13" s="88"/>
      <c r="AC13" s="92">
        <v>45952.695138888892</v>
      </c>
    </row>
    <row r="14" spans="1:29" customFormat="1" ht="16" x14ac:dyDescent="0.2">
      <c r="A14" s="90" t="s">
        <v>1</v>
      </c>
      <c r="B14" s="90" t="s">
        <v>1151</v>
      </c>
      <c r="C14" s="90" t="s">
        <v>1466</v>
      </c>
      <c r="D14" s="91">
        <v>30554</v>
      </c>
      <c r="E14" s="90">
        <v>42</v>
      </c>
      <c r="F14" s="88"/>
      <c r="G14" s="90" t="s">
        <v>10</v>
      </c>
      <c r="H14" s="90" t="s">
        <v>10</v>
      </c>
      <c r="I14" s="91">
        <v>45748</v>
      </c>
      <c r="J14" s="90" t="s">
        <v>1054</v>
      </c>
      <c r="K14" s="90" t="s">
        <v>1055</v>
      </c>
      <c r="L14" s="90" t="s">
        <v>5</v>
      </c>
      <c r="M14" s="90" t="s">
        <v>6</v>
      </c>
      <c r="N14" s="88"/>
      <c r="O14" s="91">
        <v>45944</v>
      </c>
      <c r="P14" s="91">
        <v>45951</v>
      </c>
      <c r="Q14" s="91">
        <v>45951</v>
      </c>
      <c r="R14" s="91">
        <v>45959</v>
      </c>
      <c r="S14" s="88"/>
      <c r="T14" s="88"/>
      <c r="U14" s="88"/>
      <c r="V14" s="90" t="s">
        <v>32</v>
      </c>
      <c r="W14" s="90">
        <v>1</v>
      </c>
      <c r="X14" s="90" t="s">
        <v>228</v>
      </c>
      <c r="Y14" s="88"/>
      <c r="Z14" s="88"/>
      <c r="AA14" s="88"/>
      <c r="AB14" s="88"/>
      <c r="AC14" s="92">
        <v>45951.54583333333</v>
      </c>
    </row>
    <row r="15" spans="1:29" customFormat="1" ht="16" x14ac:dyDescent="0.2">
      <c r="A15" s="90" t="s">
        <v>1</v>
      </c>
      <c r="B15" s="90" t="s">
        <v>1161</v>
      </c>
      <c r="C15" s="90" t="s">
        <v>1467</v>
      </c>
      <c r="D15" s="91">
        <v>24860</v>
      </c>
      <c r="E15" s="90">
        <v>57</v>
      </c>
      <c r="F15" s="90" t="s">
        <v>10</v>
      </c>
      <c r="G15" s="90" t="s">
        <v>11</v>
      </c>
      <c r="H15" s="90" t="s">
        <v>10</v>
      </c>
      <c r="I15" s="91">
        <v>45108</v>
      </c>
      <c r="J15" s="90" t="s">
        <v>1468</v>
      </c>
      <c r="K15" s="90" t="s">
        <v>1469</v>
      </c>
      <c r="L15" s="90" t="s">
        <v>3</v>
      </c>
      <c r="M15" s="90" t="s">
        <v>6</v>
      </c>
      <c r="N15" s="88"/>
      <c r="O15" s="91">
        <v>45944</v>
      </c>
      <c r="P15" s="91">
        <v>45952</v>
      </c>
      <c r="Q15" s="91">
        <v>45953</v>
      </c>
      <c r="R15" s="91">
        <v>45957</v>
      </c>
      <c r="S15" s="88"/>
      <c r="T15" s="88"/>
      <c r="U15" s="88"/>
      <c r="V15" s="90" t="s">
        <v>32</v>
      </c>
      <c r="W15" s="90">
        <v>1</v>
      </c>
      <c r="X15" s="90" t="s">
        <v>228</v>
      </c>
      <c r="Y15" s="88"/>
      <c r="Z15" s="88"/>
      <c r="AA15" s="88"/>
      <c r="AB15" s="88"/>
      <c r="AC15" s="92">
        <v>45952.354166666664</v>
      </c>
    </row>
    <row r="16" spans="1:29" customFormat="1" ht="16" x14ac:dyDescent="0.2">
      <c r="A16" s="90" t="s">
        <v>1</v>
      </c>
      <c r="B16" s="90" t="s">
        <v>355</v>
      </c>
      <c r="C16" s="90" t="s">
        <v>1470</v>
      </c>
      <c r="D16" s="91">
        <v>32575</v>
      </c>
      <c r="E16" s="90">
        <v>36</v>
      </c>
      <c r="F16" s="90" t="s">
        <v>11</v>
      </c>
      <c r="G16" s="90" t="s">
        <v>10</v>
      </c>
      <c r="H16" s="90" t="s">
        <v>10</v>
      </c>
      <c r="I16" s="91">
        <v>45597</v>
      </c>
      <c r="J16" s="90" t="s">
        <v>774</v>
      </c>
      <c r="K16" s="90" t="s">
        <v>432</v>
      </c>
      <c r="L16" s="90" t="s">
        <v>3</v>
      </c>
      <c r="M16" s="90" t="s">
        <v>396</v>
      </c>
      <c r="N16" s="88"/>
      <c r="O16" s="91">
        <v>45944</v>
      </c>
      <c r="P16" s="88"/>
      <c r="Q16" s="88"/>
      <c r="R16" s="88"/>
      <c r="S16" s="88"/>
      <c r="T16" s="88"/>
      <c r="U16" s="88"/>
      <c r="V16" s="90" t="s">
        <v>227</v>
      </c>
      <c r="W16" s="90">
        <v>0</v>
      </c>
      <c r="X16" s="88"/>
      <c r="Y16" s="88"/>
      <c r="Z16" s="88"/>
      <c r="AA16" s="88"/>
      <c r="AB16" s="88"/>
      <c r="AC16" s="92">
        <v>45953.415277777778</v>
      </c>
    </row>
    <row r="17" spans="1:29" customFormat="1" ht="16" x14ac:dyDescent="0.2">
      <c r="A17" s="90" t="s">
        <v>0</v>
      </c>
      <c r="B17" s="90" t="s">
        <v>1471</v>
      </c>
      <c r="C17" s="90" t="s">
        <v>1472</v>
      </c>
      <c r="D17" s="91">
        <v>29310</v>
      </c>
      <c r="E17" s="90">
        <v>45</v>
      </c>
      <c r="F17" s="90" t="s">
        <v>11</v>
      </c>
      <c r="G17" s="90" t="s">
        <v>10</v>
      </c>
      <c r="H17" s="90" t="s">
        <v>10</v>
      </c>
      <c r="I17" s="91">
        <v>45901</v>
      </c>
      <c r="J17" s="90" t="s">
        <v>409</v>
      </c>
      <c r="K17" s="90" t="s">
        <v>959</v>
      </c>
      <c r="L17" s="90" t="s">
        <v>7</v>
      </c>
      <c r="M17" s="90" t="s">
        <v>6</v>
      </c>
      <c r="N17" s="88"/>
      <c r="O17" s="91">
        <v>45944</v>
      </c>
      <c r="P17" s="88"/>
      <c r="Q17" s="88"/>
      <c r="R17" s="88"/>
      <c r="S17" s="88"/>
      <c r="T17" s="88"/>
      <c r="U17" s="88"/>
      <c r="V17" s="90" t="s">
        <v>341</v>
      </c>
      <c r="W17" s="90">
        <v>0</v>
      </c>
      <c r="X17" s="88"/>
      <c r="Y17" s="88"/>
      <c r="Z17" s="88"/>
      <c r="AA17" s="88"/>
      <c r="AB17" s="88"/>
      <c r="AC17" s="92">
        <v>45944.500694444447</v>
      </c>
    </row>
    <row r="18" spans="1:29" customFormat="1" ht="16" x14ac:dyDescent="0.2">
      <c r="A18" s="90" t="s">
        <v>0</v>
      </c>
      <c r="B18" s="90" t="s">
        <v>1473</v>
      </c>
      <c r="C18" s="90" t="s">
        <v>1474</v>
      </c>
      <c r="D18" s="91">
        <v>26634</v>
      </c>
      <c r="E18" s="90">
        <v>53</v>
      </c>
      <c r="F18" s="90" t="s">
        <v>11</v>
      </c>
      <c r="G18" s="90" t="s">
        <v>11</v>
      </c>
      <c r="H18" s="90" t="s">
        <v>10</v>
      </c>
      <c r="I18" s="91">
        <v>44682</v>
      </c>
      <c r="J18" s="90" t="s">
        <v>431</v>
      </c>
      <c r="K18" s="90" t="s">
        <v>1475</v>
      </c>
      <c r="L18" s="90" t="s">
        <v>5</v>
      </c>
      <c r="M18" s="90" t="s">
        <v>6</v>
      </c>
      <c r="N18" s="88"/>
      <c r="O18" s="91">
        <v>45944</v>
      </c>
      <c r="P18" s="88"/>
      <c r="Q18" s="88"/>
      <c r="R18" s="88"/>
      <c r="S18" s="88"/>
      <c r="T18" s="88"/>
      <c r="U18" s="88"/>
      <c r="V18" s="90" t="s">
        <v>341</v>
      </c>
      <c r="W18" s="90">
        <v>0</v>
      </c>
      <c r="X18" s="88"/>
      <c r="Y18" s="88"/>
      <c r="Z18" s="88"/>
      <c r="AA18" s="88"/>
      <c r="AB18" s="88"/>
      <c r="AC18" s="92">
        <v>45944.490277777775</v>
      </c>
    </row>
    <row r="19" spans="1:29" customFormat="1" ht="16" x14ac:dyDescent="0.2">
      <c r="A19" s="90" t="s">
        <v>1</v>
      </c>
      <c r="B19" s="90" t="s">
        <v>1462</v>
      </c>
      <c r="C19" s="90" t="s">
        <v>1476</v>
      </c>
      <c r="D19" s="91">
        <v>24304</v>
      </c>
      <c r="E19" s="90">
        <v>59</v>
      </c>
      <c r="F19" s="90" t="s">
        <v>11</v>
      </c>
      <c r="G19" s="90" t="s">
        <v>10</v>
      </c>
      <c r="H19" s="90" t="s">
        <v>10</v>
      </c>
      <c r="I19" s="91">
        <v>42005</v>
      </c>
      <c r="J19" s="90" t="s">
        <v>1477</v>
      </c>
      <c r="K19" s="90" t="s">
        <v>1478</v>
      </c>
      <c r="L19" s="90" t="s">
        <v>5</v>
      </c>
      <c r="M19" s="90" t="s">
        <v>6</v>
      </c>
      <c r="N19" s="88"/>
      <c r="O19" s="91">
        <v>45944</v>
      </c>
      <c r="P19" s="88"/>
      <c r="Q19" s="88"/>
      <c r="R19" s="88"/>
      <c r="S19" s="88"/>
      <c r="T19" s="88"/>
      <c r="U19" s="88"/>
      <c r="V19" s="90" t="s">
        <v>341</v>
      </c>
      <c r="W19" s="90">
        <v>0</v>
      </c>
      <c r="X19" s="88"/>
      <c r="Y19" s="88"/>
      <c r="Z19" s="88"/>
      <c r="AA19" s="88"/>
      <c r="AB19" s="88"/>
      <c r="AC19" s="92">
        <v>45944.482638888891</v>
      </c>
    </row>
    <row r="20" spans="1:29" customFormat="1" ht="16" x14ac:dyDescent="0.2">
      <c r="A20" s="90" t="s">
        <v>0</v>
      </c>
      <c r="B20" s="90" t="s">
        <v>1479</v>
      </c>
      <c r="C20" s="90" t="s">
        <v>1480</v>
      </c>
      <c r="D20" s="91">
        <v>34487</v>
      </c>
      <c r="E20" s="90">
        <v>31</v>
      </c>
      <c r="F20" s="90" t="s">
        <v>11</v>
      </c>
      <c r="G20" s="90" t="s">
        <v>10</v>
      </c>
      <c r="H20" s="90" t="s">
        <v>10</v>
      </c>
      <c r="I20" s="91">
        <v>42917</v>
      </c>
      <c r="J20" s="90" t="s">
        <v>165</v>
      </c>
      <c r="K20" s="90" t="s">
        <v>166</v>
      </c>
      <c r="L20" s="90" t="s">
        <v>3</v>
      </c>
      <c r="M20" s="90" t="s">
        <v>6</v>
      </c>
      <c r="N20" s="90" t="s">
        <v>119</v>
      </c>
      <c r="O20" s="91">
        <v>45944</v>
      </c>
      <c r="P20" s="91">
        <v>45947</v>
      </c>
      <c r="Q20" s="91">
        <v>45950</v>
      </c>
      <c r="R20" s="91">
        <v>45950</v>
      </c>
      <c r="S20" s="91">
        <v>45950</v>
      </c>
      <c r="T20" s="88"/>
      <c r="U20" s="88"/>
      <c r="V20" s="90" t="s">
        <v>32</v>
      </c>
      <c r="W20" s="90">
        <v>1</v>
      </c>
      <c r="X20" s="90" t="s">
        <v>118</v>
      </c>
      <c r="Y20" s="91">
        <v>45931</v>
      </c>
      <c r="Z20" s="91">
        <v>46112</v>
      </c>
      <c r="AA20" s="88"/>
      <c r="AB20" s="88"/>
      <c r="AC20" s="92">
        <v>45950.593055555553</v>
      </c>
    </row>
    <row r="21" spans="1:29" customFormat="1" ht="16" x14ac:dyDescent="0.2">
      <c r="A21" s="90" t="s">
        <v>0</v>
      </c>
      <c r="B21" s="90" t="s">
        <v>241</v>
      </c>
      <c r="C21" s="90" t="s">
        <v>1482</v>
      </c>
      <c r="D21" s="91">
        <v>31836</v>
      </c>
      <c r="E21" s="90">
        <v>38</v>
      </c>
      <c r="F21" s="90" t="s">
        <v>10</v>
      </c>
      <c r="G21" s="90" t="s">
        <v>10</v>
      </c>
      <c r="H21" s="90" t="s">
        <v>10</v>
      </c>
      <c r="I21" s="91">
        <v>42186</v>
      </c>
      <c r="J21" s="90" t="s">
        <v>256</v>
      </c>
      <c r="K21" s="90" t="s">
        <v>715</v>
      </c>
      <c r="L21" s="90" t="s">
        <v>4</v>
      </c>
      <c r="M21" s="90" t="s">
        <v>6</v>
      </c>
      <c r="N21" s="88"/>
      <c r="O21" s="91">
        <v>45943</v>
      </c>
      <c r="P21" s="91">
        <v>45945</v>
      </c>
      <c r="Q21" s="91">
        <v>45951</v>
      </c>
      <c r="R21" s="91">
        <v>45960</v>
      </c>
      <c r="S21" s="88"/>
      <c r="T21" s="88"/>
      <c r="U21" s="88"/>
      <c r="V21" s="90" t="s">
        <v>32</v>
      </c>
      <c r="W21" s="90">
        <v>1</v>
      </c>
      <c r="X21" s="90" t="s">
        <v>228</v>
      </c>
      <c r="Y21" s="88"/>
      <c r="Z21" s="88"/>
      <c r="AA21" s="88"/>
      <c r="AB21" s="88"/>
      <c r="AC21" s="92">
        <v>45945.669444444444</v>
      </c>
    </row>
    <row r="22" spans="1:29" customFormat="1" ht="16" x14ac:dyDescent="0.2">
      <c r="A22" s="90" t="s">
        <v>1</v>
      </c>
      <c r="B22" s="90" t="s">
        <v>267</v>
      </c>
      <c r="C22" s="90" t="s">
        <v>1481</v>
      </c>
      <c r="D22" s="91">
        <v>24516</v>
      </c>
      <c r="E22" s="90">
        <v>58</v>
      </c>
      <c r="F22" s="90" t="s">
        <v>11</v>
      </c>
      <c r="G22" s="90" t="s">
        <v>10</v>
      </c>
      <c r="H22" s="90" t="s">
        <v>10</v>
      </c>
      <c r="I22" s="91">
        <v>45505</v>
      </c>
      <c r="J22" s="90" t="s">
        <v>845</v>
      </c>
      <c r="K22" s="90" t="s">
        <v>1092</v>
      </c>
      <c r="L22" s="90" t="s">
        <v>5</v>
      </c>
      <c r="M22" s="90" t="s">
        <v>1093</v>
      </c>
      <c r="N22" s="88"/>
      <c r="O22" s="91">
        <v>45943</v>
      </c>
      <c r="P22" s="91">
        <v>45954</v>
      </c>
      <c r="Q22" s="91">
        <v>45957</v>
      </c>
      <c r="R22" s="91">
        <v>45966</v>
      </c>
      <c r="S22" s="88"/>
      <c r="T22" s="88"/>
      <c r="U22" s="88"/>
      <c r="V22" s="90" t="s">
        <v>32</v>
      </c>
      <c r="W22" s="90">
        <v>1</v>
      </c>
      <c r="X22" s="90" t="s">
        <v>228</v>
      </c>
      <c r="Y22" s="88"/>
      <c r="Z22" s="88"/>
      <c r="AA22" s="88"/>
      <c r="AB22" s="88"/>
      <c r="AC22" s="92">
        <v>45954.550694444442</v>
      </c>
    </row>
    <row r="23" spans="1:29" customFormat="1" ht="16" x14ac:dyDescent="0.2">
      <c r="A23" s="90" t="s">
        <v>0</v>
      </c>
      <c r="B23" s="90" t="s">
        <v>1479</v>
      </c>
      <c r="C23" s="90" t="s">
        <v>1480</v>
      </c>
      <c r="D23" s="91">
        <v>34487</v>
      </c>
      <c r="E23" s="90">
        <v>31</v>
      </c>
      <c r="F23" s="90" t="s">
        <v>11</v>
      </c>
      <c r="G23" s="90" t="s">
        <v>10</v>
      </c>
      <c r="H23" s="90" t="s">
        <v>10</v>
      </c>
      <c r="I23" s="91">
        <v>42917</v>
      </c>
      <c r="J23" s="90" t="s">
        <v>165</v>
      </c>
      <c r="K23" s="90" t="s">
        <v>166</v>
      </c>
      <c r="L23" s="90" t="s">
        <v>3</v>
      </c>
      <c r="M23" s="90" t="s">
        <v>6</v>
      </c>
      <c r="N23" s="88"/>
      <c r="O23" s="91">
        <v>45943</v>
      </c>
      <c r="P23" s="88"/>
      <c r="Q23" s="88"/>
      <c r="R23" s="88"/>
      <c r="S23" s="88"/>
      <c r="T23" s="88"/>
      <c r="U23" s="88"/>
      <c r="V23" s="90" t="s">
        <v>227</v>
      </c>
      <c r="W23" s="90">
        <v>0</v>
      </c>
      <c r="X23" s="88"/>
      <c r="Y23" s="88"/>
      <c r="Z23" s="88"/>
      <c r="AA23" s="88"/>
      <c r="AB23" s="88"/>
      <c r="AC23" s="92">
        <v>45944.42291666667</v>
      </c>
    </row>
    <row r="24" spans="1:29" customFormat="1" ht="16" x14ac:dyDescent="0.2">
      <c r="A24" s="90" t="s">
        <v>1</v>
      </c>
      <c r="B24" s="90" t="s">
        <v>140</v>
      </c>
      <c r="C24" s="90" t="s">
        <v>1483</v>
      </c>
      <c r="D24" s="91">
        <v>29412</v>
      </c>
      <c r="E24" s="90">
        <v>45</v>
      </c>
      <c r="F24" s="90" t="s">
        <v>10</v>
      </c>
      <c r="G24" s="90" t="s">
        <v>10</v>
      </c>
      <c r="H24" s="90" t="s">
        <v>10</v>
      </c>
      <c r="I24" s="91">
        <v>45839</v>
      </c>
      <c r="J24" s="90" t="s">
        <v>253</v>
      </c>
      <c r="K24" s="90" t="s">
        <v>254</v>
      </c>
      <c r="L24" s="90" t="s">
        <v>7</v>
      </c>
      <c r="M24" s="90" t="s">
        <v>6</v>
      </c>
      <c r="N24" s="88"/>
      <c r="O24" s="91">
        <v>45939</v>
      </c>
      <c r="P24" s="91">
        <v>45952</v>
      </c>
      <c r="Q24" s="91">
        <v>45953</v>
      </c>
      <c r="R24" s="91">
        <v>45964</v>
      </c>
      <c r="S24" s="88"/>
      <c r="T24" s="88"/>
      <c r="U24" s="88"/>
      <c r="V24" s="90" t="s">
        <v>32</v>
      </c>
      <c r="W24" s="90">
        <v>1</v>
      </c>
      <c r="X24" s="90" t="s">
        <v>228</v>
      </c>
      <c r="Y24" s="88"/>
      <c r="Z24" s="88"/>
      <c r="AA24" s="88"/>
      <c r="AB24" s="88"/>
      <c r="AC24" s="92">
        <v>45952.698611111111</v>
      </c>
    </row>
    <row r="25" spans="1:29" customFormat="1" ht="16" x14ac:dyDescent="0.2">
      <c r="A25" s="90" t="s">
        <v>1</v>
      </c>
      <c r="B25" s="90" t="s">
        <v>1484</v>
      </c>
      <c r="C25" s="90" t="s">
        <v>1485</v>
      </c>
      <c r="D25" s="91">
        <v>35850</v>
      </c>
      <c r="E25" s="90">
        <v>27</v>
      </c>
      <c r="F25" s="90" t="s">
        <v>11</v>
      </c>
      <c r="G25" s="90" t="s">
        <v>10</v>
      </c>
      <c r="H25" s="90" t="s">
        <v>10</v>
      </c>
      <c r="I25" s="91">
        <v>45108</v>
      </c>
      <c r="J25" s="90" t="s">
        <v>583</v>
      </c>
      <c r="K25" s="90" t="s">
        <v>332</v>
      </c>
      <c r="L25" s="90" t="s">
        <v>3</v>
      </c>
      <c r="M25" s="90" t="s">
        <v>6</v>
      </c>
      <c r="N25" s="90" t="s">
        <v>176</v>
      </c>
      <c r="O25" s="91">
        <v>45939</v>
      </c>
      <c r="P25" s="91">
        <v>45939</v>
      </c>
      <c r="Q25" s="91">
        <v>45939</v>
      </c>
      <c r="R25" s="91">
        <v>45950</v>
      </c>
      <c r="S25" s="91">
        <v>45950</v>
      </c>
      <c r="T25" s="88"/>
      <c r="U25" s="88"/>
      <c r="V25" s="90" t="s">
        <v>32</v>
      </c>
      <c r="W25" s="90">
        <v>1</v>
      </c>
      <c r="X25" s="90" t="s">
        <v>118</v>
      </c>
      <c r="Y25" s="91">
        <v>45931</v>
      </c>
      <c r="Z25" s="91">
        <v>46112</v>
      </c>
      <c r="AA25" s="88"/>
      <c r="AB25" s="88"/>
      <c r="AC25" s="92">
        <v>45950.490972222222</v>
      </c>
    </row>
    <row r="26" spans="1:29" customFormat="1" ht="16" x14ac:dyDescent="0.2">
      <c r="A26" s="90" t="s">
        <v>1</v>
      </c>
      <c r="B26" s="90" t="s">
        <v>520</v>
      </c>
      <c r="C26" s="90" t="s">
        <v>1433</v>
      </c>
      <c r="D26" s="91">
        <v>33382</v>
      </c>
      <c r="E26" s="90">
        <v>34</v>
      </c>
      <c r="F26" s="90" t="s">
        <v>11</v>
      </c>
      <c r="G26" s="90" t="s">
        <v>10</v>
      </c>
      <c r="H26" s="90" t="s">
        <v>10</v>
      </c>
      <c r="I26" s="91">
        <v>44501</v>
      </c>
      <c r="J26" s="90" t="s">
        <v>485</v>
      </c>
      <c r="K26" s="90" t="s">
        <v>211</v>
      </c>
      <c r="L26" s="90" t="s">
        <v>7</v>
      </c>
      <c r="M26" s="90" t="s">
        <v>6</v>
      </c>
      <c r="N26" s="88"/>
      <c r="O26" s="91">
        <v>45937</v>
      </c>
      <c r="P26" s="88"/>
      <c r="Q26" s="88"/>
      <c r="R26" s="88"/>
      <c r="S26" s="88"/>
      <c r="T26" s="88"/>
      <c r="U26" s="88"/>
      <c r="V26" s="90" t="s">
        <v>341</v>
      </c>
      <c r="W26" s="90">
        <v>0</v>
      </c>
      <c r="X26" s="88"/>
      <c r="Y26" s="88"/>
      <c r="Z26" s="88"/>
      <c r="AA26" s="88"/>
      <c r="AB26" s="88"/>
      <c r="AC26" s="92">
        <v>45937.65902777778</v>
      </c>
    </row>
    <row r="27" spans="1:29" customFormat="1" ht="16" x14ac:dyDescent="0.2">
      <c r="A27" s="90" t="s">
        <v>1</v>
      </c>
      <c r="B27" s="90" t="s">
        <v>1434</v>
      </c>
      <c r="C27" s="90" t="s">
        <v>1435</v>
      </c>
      <c r="D27" s="91">
        <v>45925</v>
      </c>
      <c r="E27" s="90">
        <v>0</v>
      </c>
      <c r="F27" s="90" t="s">
        <v>10</v>
      </c>
      <c r="G27" s="90" t="s">
        <v>10</v>
      </c>
      <c r="H27" s="90" t="s">
        <v>10</v>
      </c>
      <c r="I27" s="91">
        <v>45870</v>
      </c>
      <c r="J27" s="90" t="s">
        <v>1436</v>
      </c>
      <c r="K27" s="90" t="s">
        <v>108</v>
      </c>
      <c r="L27" s="90" t="s">
        <v>7</v>
      </c>
      <c r="M27" s="90" t="s">
        <v>6</v>
      </c>
      <c r="N27" s="88"/>
      <c r="O27" s="91">
        <v>45937</v>
      </c>
      <c r="P27" s="88"/>
      <c r="Q27" s="88"/>
      <c r="R27" s="88"/>
      <c r="S27" s="88"/>
      <c r="T27" s="88"/>
      <c r="U27" s="88"/>
      <c r="V27" s="90" t="s">
        <v>341</v>
      </c>
      <c r="W27" s="90">
        <v>0</v>
      </c>
      <c r="X27" s="88"/>
      <c r="Y27" s="88"/>
      <c r="Z27" s="88"/>
      <c r="AA27" s="88"/>
      <c r="AB27" s="88"/>
      <c r="AC27" s="92">
        <v>45937.584027777775</v>
      </c>
    </row>
    <row r="28" spans="1:29" customFormat="1" ht="16" x14ac:dyDescent="0.2">
      <c r="A28" s="90" t="s">
        <v>1</v>
      </c>
      <c r="B28" s="90" t="s">
        <v>1437</v>
      </c>
      <c r="C28" s="90" t="s">
        <v>190</v>
      </c>
      <c r="D28" s="91">
        <v>27042</v>
      </c>
      <c r="E28" s="90">
        <v>51</v>
      </c>
      <c r="F28" s="90" t="s">
        <v>11</v>
      </c>
      <c r="G28" s="90" t="s">
        <v>10</v>
      </c>
      <c r="H28" s="90" t="s">
        <v>10</v>
      </c>
      <c r="I28" s="91">
        <v>41000</v>
      </c>
      <c r="J28" s="90" t="s">
        <v>409</v>
      </c>
      <c r="K28" s="90" t="s">
        <v>959</v>
      </c>
      <c r="L28" s="90" t="s">
        <v>7</v>
      </c>
      <c r="M28" s="90" t="s">
        <v>6</v>
      </c>
      <c r="N28" s="88"/>
      <c r="O28" s="91">
        <v>45936</v>
      </c>
      <c r="P28" s="88"/>
      <c r="Q28" s="88"/>
      <c r="R28" s="88"/>
      <c r="S28" s="88"/>
      <c r="T28" s="88"/>
      <c r="U28" s="88"/>
      <c r="V28" s="90" t="s">
        <v>341</v>
      </c>
      <c r="W28" s="90">
        <v>0</v>
      </c>
      <c r="X28" s="88"/>
      <c r="Y28" s="88"/>
      <c r="Z28" s="88"/>
      <c r="AA28" s="88"/>
      <c r="AB28" s="88"/>
      <c r="AC28" s="92">
        <v>45936.643750000003</v>
      </c>
    </row>
    <row r="29" spans="1:29" customFormat="1" ht="16" x14ac:dyDescent="0.2">
      <c r="A29" s="90" t="s">
        <v>0</v>
      </c>
      <c r="B29" s="90" t="s">
        <v>427</v>
      </c>
      <c r="C29" s="90" t="s">
        <v>567</v>
      </c>
      <c r="D29" s="91">
        <v>25861</v>
      </c>
      <c r="E29" s="90">
        <v>55</v>
      </c>
      <c r="F29" s="88"/>
      <c r="G29" s="90" t="s">
        <v>10</v>
      </c>
      <c r="H29" s="90" t="s">
        <v>10</v>
      </c>
      <c r="I29" s="91">
        <v>43160</v>
      </c>
      <c r="J29" s="90" t="s">
        <v>275</v>
      </c>
      <c r="K29" s="90" t="s">
        <v>115</v>
      </c>
      <c r="L29" s="90" t="s">
        <v>4</v>
      </c>
      <c r="M29" s="90" t="s">
        <v>6</v>
      </c>
      <c r="N29" s="88"/>
      <c r="O29" s="91">
        <v>45933</v>
      </c>
      <c r="P29" s="88"/>
      <c r="Q29" s="88"/>
      <c r="R29" s="88"/>
      <c r="S29" s="88"/>
      <c r="T29" s="88"/>
      <c r="U29" s="88"/>
      <c r="V29" s="90" t="s">
        <v>227</v>
      </c>
      <c r="W29" s="90">
        <v>0</v>
      </c>
      <c r="X29" s="88"/>
      <c r="Y29" s="88"/>
      <c r="Z29" s="88"/>
      <c r="AA29" s="88"/>
      <c r="AB29" s="88"/>
      <c r="AC29" s="92">
        <v>45951.370833333334</v>
      </c>
    </row>
    <row r="30" spans="1:29" customFormat="1" ht="16" x14ac:dyDescent="0.2">
      <c r="A30" s="90" t="s">
        <v>0</v>
      </c>
      <c r="B30" s="90" t="s">
        <v>767</v>
      </c>
      <c r="C30" s="90" t="s">
        <v>1438</v>
      </c>
      <c r="D30" s="91">
        <v>32826</v>
      </c>
      <c r="E30" s="90">
        <v>36</v>
      </c>
      <c r="F30" s="90" t="s">
        <v>11</v>
      </c>
      <c r="G30" s="90" t="s">
        <v>10</v>
      </c>
      <c r="H30" s="90" t="s">
        <v>10</v>
      </c>
      <c r="I30" s="91">
        <v>43070</v>
      </c>
      <c r="J30" s="90" t="s">
        <v>558</v>
      </c>
      <c r="K30" s="90" t="s">
        <v>822</v>
      </c>
      <c r="L30" s="90" t="s">
        <v>4</v>
      </c>
      <c r="M30" s="90" t="s">
        <v>6</v>
      </c>
      <c r="N30" s="88"/>
      <c r="O30" s="91">
        <v>45933</v>
      </c>
      <c r="P30" s="91">
        <v>45951</v>
      </c>
      <c r="Q30" s="91">
        <v>45957</v>
      </c>
      <c r="R30" s="91">
        <v>45967</v>
      </c>
      <c r="S30" s="88"/>
      <c r="T30" s="88"/>
      <c r="U30" s="88"/>
      <c r="V30" s="90" t="s">
        <v>32</v>
      </c>
      <c r="W30" s="90">
        <v>1</v>
      </c>
      <c r="X30" s="90" t="s">
        <v>228</v>
      </c>
      <c r="Y30" s="88"/>
      <c r="Z30" s="88"/>
      <c r="AA30" s="88"/>
      <c r="AB30" s="88"/>
      <c r="AC30" s="92">
        <v>45951.37222222222</v>
      </c>
    </row>
    <row r="31" spans="1:29" customFormat="1" ht="16" x14ac:dyDescent="0.2">
      <c r="A31" s="90" t="s">
        <v>1</v>
      </c>
      <c r="B31" s="90" t="s">
        <v>1126</v>
      </c>
      <c r="C31" s="90" t="s">
        <v>1439</v>
      </c>
      <c r="D31" s="91">
        <v>23625</v>
      </c>
      <c r="E31" s="90">
        <v>61</v>
      </c>
      <c r="F31" s="90" t="s">
        <v>11</v>
      </c>
      <c r="G31" s="90" t="s">
        <v>10</v>
      </c>
      <c r="H31" s="90" t="s">
        <v>10</v>
      </c>
      <c r="I31" s="91">
        <v>39934</v>
      </c>
      <c r="J31" s="90" t="s">
        <v>1009</v>
      </c>
      <c r="K31" s="90" t="s">
        <v>1010</v>
      </c>
      <c r="L31" s="90" t="s">
        <v>7</v>
      </c>
      <c r="M31" s="90" t="s">
        <v>6</v>
      </c>
      <c r="N31" s="88"/>
      <c r="O31" s="91">
        <v>45930</v>
      </c>
      <c r="P31" s="91">
        <v>45952</v>
      </c>
      <c r="Q31" s="88"/>
      <c r="R31" s="88"/>
      <c r="S31" s="88"/>
      <c r="T31" s="88"/>
      <c r="U31" s="88"/>
      <c r="V31" s="90" t="s">
        <v>227</v>
      </c>
      <c r="W31" s="90">
        <v>0</v>
      </c>
      <c r="X31" s="88"/>
      <c r="Y31" s="88"/>
      <c r="Z31" s="88"/>
      <c r="AA31" s="88"/>
      <c r="AB31" s="88"/>
      <c r="AC31" s="92">
        <v>45957.590277777781</v>
      </c>
    </row>
    <row r="32" spans="1:29" customFormat="1" ht="16" x14ac:dyDescent="0.2">
      <c r="A32" s="90" t="s">
        <v>1</v>
      </c>
      <c r="B32" s="90" t="s">
        <v>1440</v>
      </c>
      <c r="C32" s="90" t="s">
        <v>1441</v>
      </c>
      <c r="D32" s="91">
        <v>24988</v>
      </c>
      <c r="E32" s="90">
        <v>57</v>
      </c>
      <c r="F32" s="90" t="s">
        <v>10</v>
      </c>
      <c r="G32" s="90" t="s">
        <v>10</v>
      </c>
      <c r="H32" s="90" t="s">
        <v>10</v>
      </c>
      <c r="I32" s="91">
        <v>45566</v>
      </c>
      <c r="J32" s="90" t="s">
        <v>276</v>
      </c>
      <c r="K32" s="90" t="s">
        <v>169</v>
      </c>
      <c r="L32" s="90" t="s">
        <v>4</v>
      </c>
      <c r="M32" s="90" t="s">
        <v>6</v>
      </c>
      <c r="N32" s="90" t="s">
        <v>119</v>
      </c>
      <c r="O32" s="91">
        <v>45930</v>
      </c>
      <c r="P32" s="91">
        <v>45945</v>
      </c>
      <c r="Q32" s="91">
        <v>45950</v>
      </c>
      <c r="R32" s="91">
        <v>45951</v>
      </c>
      <c r="S32" s="91">
        <v>45951</v>
      </c>
      <c r="T32" s="88"/>
      <c r="U32" s="90" t="s">
        <v>320</v>
      </c>
      <c r="V32" s="90" t="s">
        <v>32</v>
      </c>
      <c r="W32" s="90">
        <v>2</v>
      </c>
      <c r="X32" s="90" t="s">
        <v>228</v>
      </c>
      <c r="Y32" s="91">
        <v>45931</v>
      </c>
      <c r="Z32" s="91">
        <v>46112</v>
      </c>
      <c r="AA32" s="88"/>
      <c r="AB32" s="88"/>
      <c r="AC32" s="92">
        <v>45951.467361111114</v>
      </c>
    </row>
    <row r="33" spans="1:29" customFormat="1" ht="16" x14ac:dyDescent="0.2">
      <c r="A33" s="90" t="s">
        <v>0</v>
      </c>
      <c r="B33" s="90" t="s">
        <v>1442</v>
      </c>
      <c r="C33" s="90" t="s">
        <v>1443</v>
      </c>
      <c r="D33" s="91">
        <v>31847</v>
      </c>
      <c r="E33" s="90">
        <v>38</v>
      </c>
      <c r="F33" s="90" t="s">
        <v>11</v>
      </c>
      <c r="G33" s="90" t="s">
        <v>10</v>
      </c>
      <c r="H33" s="90" t="s">
        <v>10</v>
      </c>
      <c r="I33" s="91">
        <v>43709</v>
      </c>
      <c r="J33" s="90" t="s">
        <v>1286</v>
      </c>
      <c r="K33" s="90" t="s">
        <v>1375</v>
      </c>
      <c r="L33" s="90" t="s">
        <v>5</v>
      </c>
      <c r="M33" s="90" t="s">
        <v>6</v>
      </c>
      <c r="N33" s="88"/>
      <c r="O33" s="91">
        <v>45929</v>
      </c>
      <c r="P33" s="88"/>
      <c r="Q33" s="88"/>
      <c r="R33" s="88"/>
      <c r="S33" s="88"/>
      <c r="T33" s="88"/>
      <c r="U33" s="88"/>
      <c r="V33" s="90" t="s">
        <v>341</v>
      </c>
      <c r="W33" s="90">
        <v>0</v>
      </c>
      <c r="X33" s="88"/>
      <c r="Y33" s="88"/>
      <c r="Z33" s="88"/>
      <c r="AA33" s="88"/>
      <c r="AB33" s="88"/>
      <c r="AC33" s="92">
        <v>45929.697916666664</v>
      </c>
    </row>
    <row r="34" spans="1:29" customFormat="1" ht="16" x14ac:dyDescent="0.2">
      <c r="A34" s="90" t="s">
        <v>1</v>
      </c>
      <c r="B34" s="90" t="s">
        <v>658</v>
      </c>
      <c r="C34" s="90" t="s">
        <v>1455</v>
      </c>
      <c r="D34" s="91">
        <v>28034</v>
      </c>
      <c r="E34" s="90">
        <v>49</v>
      </c>
      <c r="F34" s="90" t="s">
        <v>10</v>
      </c>
      <c r="G34" s="90" t="s">
        <v>10</v>
      </c>
      <c r="H34" s="90" t="s">
        <v>10</v>
      </c>
      <c r="I34" s="91">
        <v>44256</v>
      </c>
      <c r="J34" s="90" t="s">
        <v>583</v>
      </c>
      <c r="K34" s="90" t="s">
        <v>332</v>
      </c>
      <c r="L34" s="90" t="s">
        <v>3</v>
      </c>
      <c r="M34" s="90" t="s">
        <v>6</v>
      </c>
      <c r="N34" s="90" t="s">
        <v>119</v>
      </c>
      <c r="O34" s="91">
        <v>45924</v>
      </c>
      <c r="P34" s="91">
        <v>45924</v>
      </c>
      <c r="Q34" s="91">
        <v>45929</v>
      </c>
      <c r="R34" s="91">
        <v>45938</v>
      </c>
      <c r="S34" s="91">
        <v>45938</v>
      </c>
      <c r="T34" s="88"/>
      <c r="U34" s="88"/>
      <c r="V34" s="90" t="s">
        <v>32</v>
      </c>
      <c r="W34" s="90">
        <v>1</v>
      </c>
      <c r="X34" s="90" t="s">
        <v>118</v>
      </c>
      <c r="Y34" s="91">
        <v>45931</v>
      </c>
      <c r="Z34" s="91">
        <v>46112</v>
      </c>
      <c r="AA34" s="88"/>
      <c r="AB34" s="88"/>
      <c r="AC34" s="92">
        <v>45938.429861111108</v>
      </c>
    </row>
    <row r="35" spans="1:29" customFormat="1" ht="16" x14ac:dyDescent="0.2">
      <c r="A35" s="90" t="s">
        <v>1</v>
      </c>
      <c r="B35" s="90" t="s">
        <v>1444</v>
      </c>
      <c r="C35" s="90" t="s">
        <v>1445</v>
      </c>
      <c r="D35" s="91">
        <v>24219</v>
      </c>
      <c r="E35" s="90">
        <v>59</v>
      </c>
      <c r="F35" s="90" t="s">
        <v>11</v>
      </c>
      <c r="G35" s="90" t="s">
        <v>10</v>
      </c>
      <c r="H35" s="90" t="s">
        <v>10</v>
      </c>
      <c r="I35" s="91">
        <v>45748</v>
      </c>
      <c r="J35" s="90" t="s">
        <v>734</v>
      </c>
      <c r="K35" s="90" t="s">
        <v>735</v>
      </c>
      <c r="L35" s="90" t="s">
        <v>4</v>
      </c>
      <c r="M35" s="90" t="s">
        <v>6</v>
      </c>
      <c r="N35" s="90" t="s">
        <v>120</v>
      </c>
      <c r="O35" s="91">
        <v>45929</v>
      </c>
      <c r="P35" s="91">
        <v>45933</v>
      </c>
      <c r="Q35" s="91">
        <v>45937</v>
      </c>
      <c r="R35" s="91">
        <v>45943</v>
      </c>
      <c r="S35" s="91">
        <v>45943</v>
      </c>
      <c r="T35" s="88"/>
      <c r="U35" s="88"/>
      <c r="V35" s="90" t="s">
        <v>32</v>
      </c>
      <c r="W35" s="90">
        <v>1</v>
      </c>
      <c r="X35" s="90" t="s">
        <v>228</v>
      </c>
      <c r="Y35" s="91">
        <v>45931</v>
      </c>
      <c r="Z35" s="91">
        <v>46112</v>
      </c>
      <c r="AA35" s="88"/>
      <c r="AB35" s="88"/>
      <c r="AC35" s="92">
        <v>45943.693055555559</v>
      </c>
    </row>
    <row r="36" spans="1:29" customFormat="1" ht="16" x14ac:dyDescent="0.2">
      <c r="A36" s="90" t="s">
        <v>0</v>
      </c>
      <c r="B36" s="90" t="s">
        <v>1446</v>
      </c>
      <c r="C36" s="90" t="s">
        <v>1447</v>
      </c>
      <c r="D36" s="91">
        <v>26551</v>
      </c>
      <c r="E36" s="90">
        <v>53</v>
      </c>
      <c r="F36" s="90" t="s">
        <v>11</v>
      </c>
      <c r="G36" s="90" t="s">
        <v>10</v>
      </c>
      <c r="H36" s="90" t="s">
        <v>10</v>
      </c>
      <c r="I36" s="91">
        <v>45809</v>
      </c>
      <c r="J36" s="90" t="s">
        <v>426</v>
      </c>
      <c r="K36" s="90" t="s">
        <v>455</v>
      </c>
      <c r="L36" s="90" t="s">
        <v>4</v>
      </c>
      <c r="M36" s="90" t="s">
        <v>396</v>
      </c>
      <c r="N36" s="90" t="s">
        <v>119</v>
      </c>
      <c r="O36" s="91">
        <v>45926</v>
      </c>
      <c r="P36" s="91">
        <v>45933</v>
      </c>
      <c r="Q36" s="91">
        <v>45937</v>
      </c>
      <c r="R36" s="91">
        <v>45954</v>
      </c>
      <c r="S36" s="91">
        <v>45954</v>
      </c>
      <c r="T36" s="88"/>
      <c r="U36" s="88"/>
      <c r="V36" s="90" t="s">
        <v>32</v>
      </c>
      <c r="W36" s="90">
        <v>1</v>
      </c>
      <c r="X36" s="90" t="s">
        <v>228</v>
      </c>
      <c r="Y36" s="88"/>
      <c r="Z36" s="88"/>
      <c r="AA36" s="88"/>
      <c r="AB36" s="88"/>
      <c r="AC36" s="92">
        <v>45954.697916666664</v>
      </c>
    </row>
    <row r="37" spans="1:29" customFormat="1" ht="16" x14ac:dyDescent="0.2">
      <c r="A37" s="90" t="s">
        <v>0</v>
      </c>
      <c r="B37" s="90" t="s">
        <v>1448</v>
      </c>
      <c r="C37" s="90" t="s">
        <v>1449</v>
      </c>
      <c r="D37" s="91">
        <v>37308</v>
      </c>
      <c r="E37" s="90">
        <v>23</v>
      </c>
      <c r="F37" s="90" t="s">
        <v>11</v>
      </c>
      <c r="G37" s="90" t="s">
        <v>10</v>
      </c>
      <c r="H37" s="88"/>
      <c r="I37" s="88"/>
      <c r="J37" s="90" t="s">
        <v>1450</v>
      </c>
      <c r="K37" s="90" t="s">
        <v>1228</v>
      </c>
      <c r="L37" s="90" t="s">
        <v>3</v>
      </c>
      <c r="M37" s="90" t="s">
        <v>9</v>
      </c>
      <c r="N37" s="90" t="s">
        <v>119</v>
      </c>
      <c r="O37" s="91">
        <v>45925</v>
      </c>
      <c r="P37" s="91">
        <v>45926</v>
      </c>
      <c r="Q37" s="91">
        <v>45937</v>
      </c>
      <c r="R37" s="91">
        <v>45944</v>
      </c>
      <c r="S37" s="91">
        <v>45944</v>
      </c>
      <c r="T37" s="88"/>
      <c r="U37" s="88"/>
      <c r="V37" s="90" t="s">
        <v>32</v>
      </c>
      <c r="W37" s="90">
        <v>2</v>
      </c>
      <c r="X37" s="90" t="s">
        <v>228</v>
      </c>
      <c r="Y37" s="91">
        <v>45931</v>
      </c>
      <c r="Z37" s="91">
        <v>46112</v>
      </c>
      <c r="AA37" s="88"/>
      <c r="AB37" s="88"/>
      <c r="AC37" s="92">
        <v>45944.609722222223</v>
      </c>
    </row>
    <row r="38" spans="1:29" customFormat="1" ht="16" x14ac:dyDescent="0.2">
      <c r="A38" s="90" t="s">
        <v>1</v>
      </c>
      <c r="B38" s="90" t="s">
        <v>1451</v>
      </c>
      <c r="C38" s="90" t="s">
        <v>1452</v>
      </c>
      <c r="D38" s="91">
        <v>26772</v>
      </c>
      <c r="E38" s="90">
        <v>52</v>
      </c>
      <c r="F38" s="90" t="s">
        <v>10</v>
      </c>
      <c r="G38" s="90" t="s">
        <v>10</v>
      </c>
      <c r="H38" s="90" t="s">
        <v>10</v>
      </c>
      <c r="I38" s="91">
        <v>41944</v>
      </c>
      <c r="J38" s="90" t="s">
        <v>1453</v>
      </c>
      <c r="K38" s="90" t="s">
        <v>1454</v>
      </c>
      <c r="L38" s="90" t="s">
        <v>5</v>
      </c>
      <c r="M38" s="90" t="s">
        <v>6</v>
      </c>
      <c r="N38" s="88"/>
      <c r="O38" s="91">
        <v>45925</v>
      </c>
      <c r="P38" s="88"/>
      <c r="Q38" s="88"/>
      <c r="R38" s="88"/>
      <c r="S38" s="88"/>
      <c r="T38" s="88"/>
      <c r="U38" s="88"/>
      <c r="V38" s="90" t="s">
        <v>341</v>
      </c>
      <c r="W38" s="90">
        <v>0</v>
      </c>
      <c r="X38" s="88"/>
      <c r="Y38" s="88"/>
      <c r="Z38" s="88"/>
      <c r="AA38" s="88"/>
      <c r="AB38" s="88"/>
      <c r="AC38" s="92">
        <v>45925.42083333333</v>
      </c>
    </row>
    <row r="39" spans="1:29" customFormat="1" ht="16" x14ac:dyDescent="0.2">
      <c r="A39" s="90" t="s">
        <v>0</v>
      </c>
      <c r="B39" s="90" t="s">
        <v>1456</v>
      </c>
      <c r="C39" s="90" t="s">
        <v>1457</v>
      </c>
      <c r="D39" s="91">
        <v>23225</v>
      </c>
      <c r="E39" s="90">
        <v>62</v>
      </c>
      <c r="F39" s="90" t="s">
        <v>11</v>
      </c>
      <c r="G39" s="90" t="s">
        <v>10</v>
      </c>
      <c r="H39" s="90" t="s">
        <v>10</v>
      </c>
      <c r="I39" s="91">
        <v>44958</v>
      </c>
      <c r="J39" s="90" t="s">
        <v>1286</v>
      </c>
      <c r="K39" s="90" t="s">
        <v>1375</v>
      </c>
      <c r="L39" s="90" t="s">
        <v>5</v>
      </c>
      <c r="M39" s="90" t="s">
        <v>6</v>
      </c>
      <c r="N39" s="88"/>
      <c r="O39" s="91">
        <v>45924</v>
      </c>
      <c r="P39" s="91">
        <v>45924</v>
      </c>
      <c r="Q39" s="91">
        <v>45929</v>
      </c>
      <c r="R39" s="91">
        <v>45938</v>
      </c>
      <c r="S39" s="88"/>
      <c r="T39" s="88"/>
      <c r="U39" s="88"/>
      <c r="V39" s="90" t="s">
        <v>227</v>
      </c>
      <c r="W39" s="90">
        <v>1</v>
      </c>
      <c r="X39" s="90" t="s">
        <v>228</v>
      </c>
      <c r="Y39" s="88"/>
      <c r="Z39" s="88"/>
      <c r="AA39" s="88"/>
      <c r="AB39" s="88"/>
      <c r="AC39" s="92">
        <v>45940.677083333336</v>
      </c>
    </row>
    <row r="40" spans="1:29" customFormat="1" ht="16" x14ac:dyDescent="0.2">
      <c r="A40" s="90" t="s">
        <v>1</v>
      </c>
      <c r="B40" s="90" t="s">
        <v>1462</v>
      </c>
      <c r="C40" s="90" t="s">
        <v>1463</v>
      </c>
      <c r="D40" s="91">
        <v>26437</v>
      </c>
      <c r="E40" s="90">
        <v>53</v>
      </c>
      <c r="F40" s="90" t="s">
        <v>11</v>
      </c>
      <c r="G40" s="90" t="s">
        <v>10</v>
      </c>
      <c r="H40" s="90" t="s">
        <v>10</v>
      </c>
      <c r="I40" s="91">
        <v>41671</v>
      </c>
      <c r="J40" s="90" t="s">
        <v>1464</v>
      </c>
      <c r="K40" s="90" t="s">
        <v>1465</v>
      </c>
      <c r="L40" s="90" t="s">
        <v>7</v>
      </c>
      <c r="M40" s="90" t="s">
        <v>885</v>
      </c>
      <c r="N40" s="88"/>
      <c r="O40" s="91">
        <v>45923</v>
      </c>
      <c r="P40" s="91">
        <v>45957</v>
      </c>
      <c r="Q40" s="91">
        <v>45957</v>
      </c>
      <c r="R40" s="91">
        <v>45959</v>
      </c>
      <c r="S40" s="88"/>
      <c r="T40" s="88"/>
      <c r="U40" s="88"/>
      <c r="V40" s="90" t="s">
        <v>32</v>
      </c>
      <c r="W40" s="90">
        <v>1</v>
      </c>
      <c r="X40" s="90" t="s">
        <v>228</v>
      </c>
      <c r="Y40" s="88"/>
      <c r="Z40" s="88"/>
      <c r="AA40" s="88"/>
      <c r="AB40" s="88"/>
      <c r="AC40" s="92">
        <v>45957.59375</v>
      </c>
    </row>
    <row r="41" spans="1:29" customFormat="1" ht="16" x14ac:dyDescent="0.2">
      <c r="A41" s="90" t="s">
        <v>0</v>
      </c>
      <c r="B41" s="90" t="s">
        <v>129</v>
      </c>
      <c r="C41" s="90" t="s">
        <v>1460</v>
      </c>
      <c r="D41" s="91">
        <v>33145</v>
      </c>
      <c r="E41" s="90">
        <v>35</v>
      </c>
      <c r="F41" s="90" t="s">
        <v>11</v>
      </c>
      <c r="G41" s="90" t="s">
        <v>10</v>
      </c>
      <c r="H41" s="90" t="s">
        <v>10</v>
      </c>
      <c r="I41" s="91">
        <v>42156</v>
      </c>
      <c r="J41" s="90" t="s">
        <v>352</v>
      </c>
      <c r="K41" s="90" t="s">
        <v>1461</v>
      </c>
      <c r="L41" s="90" t="s">
        <v>5</v>
      </c>
      <c r="M41" s="90" t="s">
        <v>6</v>
      </c>
      <c r="N41" s="88"/>
      <c r="O41" s="91">
        <v>45923</v>
      </c>
      <c r="P41" s="88"/>
      <c r="Q41" s="88"/>
      <c r="R41" s="88"/>
      <c r="S41" s="88"/>
      <c r="T41" s="88"/>
      <c r="U41" s="88"/>
      <c r="V41" s="90" t="s">
        <v>341</v>
      </c>
      <c r="W41" s="90">
        <v>0</v>
      </c>
      <c r="X41" s="88"/>
      <c r="Y41" s="88"/>
      <c r="Z41" s="88"/>
      <c r="AA41" s="88"/>
      <c r="AB41" s="88"/>
      <c r="AC41" s="92">
        <v>45923.459027777775</v>
      </c>
    </row>
    <row r="42" spans="1:29" customFormat="1" ht="16" x14ac:dyDescent="0.2">
      <c r="A42" s="90" t="s">
        <v>0</v>
      </c>
      <c r="B42" s="90" t="s">
        <v>1458</v>
      </c>
      <c r="C42" s="90" t="s">
        <v>1459</v>
      </c>
      <c r="D42" s="91">
        <v>28131</v>
      </c>
      <c r="E42" s="90">
        <v>48</v>
      </c>
      <c r="F42" s="90" t="s">
        <v>10</v>
      </c>
      <c r="G42" s="90" t="s">
        <v>10</v>
      </c>
      <c r="H42" s="90" t="s">
        <v>10</v>
      </c>
      <c r="I42" s="91">
        <v>44652</v>
      </c>
      <c r="J42" s="90" t="s">
        <v>179</v>
      </c>
      <c r="K42" s="90" t="s">
        <v>675</v>
      </c>
      <c r="L42" s="90" t="s">
        <v>4</v>
      </c>
      <c r="M42" s="90" t="s">
        <v>6</v>
      </c>
      <c r="N42" s="90" t="s">
        <v>119</v>
      </c>
      <c r="O42" s="91">
        <v>45923</v>
      </c>
      <c r="P42" s="91">
        <v>45926</v>
      </c>
      <c r="Q42" s="91">
        <v>45929</v>
      </c>
      <c r="R42" s="91">
        <v>45943</v>
      </c>
      <c r="S42" s="91">
        <v>45943</v>
      </c>
      <c r="T42" s="88"/>
      <c r="U42" s="88"/>
      <c r="V42" s="90" t="s">
        <v>32</v>
      </c>
      <c r="W42" s="90">
        <v>1</v>
      </c>
      <c r="X42" s="90" t="s">
        <v>228</v>
      </c>
      <c r="Y42" s="91">
        <v>45931</v>
      </c>
      <c r="Z42" s="91">
        <v>46112</v>
      </c>
      <c r="AA42" s="88"/>
      <c r="AB42" s="88"/>
      <c r="AC42" s="92">
        <v>45943.696527777778</v>
      </c>
    </row>
    <row r="43" spans="1:29" customFormat="1" ht="16" x14ac:dyDescent="0.2">
      <c r="A43" s="90" t="s">
        <v>1</v>
      </c>
      <c r="B43" s="90" t="s">
        <v>511</v>
      </c>
      <c r="C43" s="90" t="s">
        <v>333</v>
      </c>
      <c r="D43" s="91">
        <v>31060</v>
      </c>
      <c r="E43" s="90">
        <v>40</v>
      </c>
      <c r="F43" s="88"/>
      <c r="G43" s="90" t="s">
        <v>10</v>
      </c>
      <c r="H43" s="90" t="s">
        <v>10</v>
      </c>
      <c r="I43" s="91">
        <v>42767</v>
      </c>
      <c r="J43" s="90" t="s">
        <v>583</v>
      </c>
      <c r="K43" s="90" t="s">
        <v>332</v>
      </c>
      <c r="L43" s="90" t="s">
        <v>3</v>
      </c>
      <c r="M43" s="90" t="s">
        <v>6</v>
      </c>
      <c r="N43" s="90" t="s">
        <v>119</v>
      </c>
      <c r="O43" s="91">
        <v>45922</v>
      </c>
      <c r="P43" s="91">
        <v>45922</v>
      </c>
      <c r="Q43" s="91">
        <v>45939</v>
      </c>
      <c r="R43" s="91">
        <v>45952</v>
      </c>
      <c r="S43" s="91">
        <v>45952</v>
      </c>
      <c r="T43" s="88"/>
      <c r="U43" s="88"/>
      <c r="V43" s="90" t="s">
        <v>32</v>
      </c>
      <c r="W43" s="90">
        <v>1</v>
      </c>
      <c r="X43" s="90" t="s">
        <v>118</v>
      </c>
      <c r="Y43" s="91">
        <v>45952</v>
      </c>
      <c r="Z43" s="91">
        <v>46112</v>
      </c>
      <c r="AA43" s="88"/>
      <c r="AB43" s="88"/>
      <c r="AC43" s="92">
        <v>45952.615972222222</v>
      </c>
    </row>
    <row r="44" spans="1:29" customFormat="1" ht="16" x14ac:dyDescent="0.2">
      <c r="A44" s="90" t="s">
        <v>1</v>
      </c>
      <c r="B44" s="90" t="s">
        <v>199</v>
      </c>
      <c r="C44" s="90" t="s">
        <v>1407</v>
      </c>
      <c r="D44" s="91">
        <v>28591</v>
      </c>
      <c r="E44" s="90">
        <v>47</v>
      </c>
      <c r="F44" s="90" t="s">
        <v>11</v>
      </c>
      <c r="G44" s="90" t="s">
        <v>10</v>
      </c>
      <c r="H44" s="90" t="s">
        <v>10</v>
      </c>
      <c r="I44" s="91">
        <v>45717</v>
      </c>
      <c r="J44" s="90" t="s">
        <v>161</v>
      </c>
      <c r="K44" s="90" t="s">
        <v>208</v>
      </c>
      <c r="L44" s="90" t="s">
        <v>7</v>
      </c>
      <c r="M44" s="90" t="s">
        <v>6</v>
      </c>
      <c r="N44" s="88"/>
      <c r="O44" s="91">
        <v>45919</v>
      </c>
      <c r="P44" s="91">
        <v>45952</v>
      </c>
      <c r="Q44" s="91">
        <v>45953</v>
      </c>
      <c r="R44" s="91">
        <v>45959</v>
      </c>
      <c r="S44" s="88"/>
      <c r="T44" s="88"/>
      <c r="U44" s="88"/>
      <c r="V44" s="90" t="s">
        <v>32</v>
      </c>
      <c r="W44" s="90">
        <v>1</v>
      </c>
      <c r="X44" s="90" t="s">
        <v>228</v>
      </c>
      <c r="Y44" s="88"/>
      <c r="Z44" s="88"/>
      <c r="AA44" s="88"/>
      <c r="AB44" s="88"/>
      <c r="AC44" s="92">
        <v>45952.684027777781</v>
      </c>
    </row>
    <row r="45" spans="1:29" customFormat="1" ht="16" x14ac:dyDescent="0.2">
      <c r="A45" s="90" t="s">
        <v>1</v>
      </c>
      <c r="B45" s="90" t="s">
        <v>1408</v>
      </c>
      <c r="C45" s="90" t="s">
        <v>1409</v>
      </c>
      <c r="D45" s="91">
        <v>30578</v>
      </c>
      <c r="E45" s="90">
        <v>42</v>
      </c>
      <c r="F45" s="90" t="s">
        <v>11</v>
      </c>
      <c r="G45" s="90" t="s">
        <v>10</v>
      </c>
      <c r="H45" s="90" t="s">
        <v>10</v>
      </c>
      <c r="I45" s="91">
        <v>43952</v>
      </c>
      <c r="J45" s="90" t="s">
        <v>161</v>
      </c>
      <c r="K45" s="90" t="s">
        <v>208</v>
      </c>
      <c r="L45" s="90" t="s">
        <v>7</v>
      </c>
      <c r="M45" s="90" t="s">
        <v>6</v>
      </c>
      <c r="N45" s="88"/>
      <c r="O45" s="91">
        <v>45919</v>
      </c>
      <c r="P45" s="91">
        <v>45952</v>
      </c>
      <c r="Q45" s="91">
        <v>45953</v>
      </c>
      <c r="R45" s="91">
        <v>45959</v>
      </c>
      <c r="S45" s="88"/>
      <c r="T45" s="88"/>
      <c r="U45" s="88"/>
      <c r="V45" s="90" t="s">
        <v>32</v>
      </c>
      <c r="W45" s="90">
        <v>1</v>
      </c>
      <c r="X45" s="90" t="s">
        <v>228</v>
      </c>
      <c r="Y45" s="88"/>
      <c r="Z45" s="88"/>
      <c r="AA45" s="88"/>
      <c r="AB45" s="88"/>
      <c r="AC45" s="92">
        <v>45952.682638888888</v>
      </c>
    </row>
    <row r="46" spans="1:29" customFormat="1" ht="16" x14ac:dyDescent="0.2">
      <c r="A46" s="90" t="s">
        <v>0</v>
      </c>
      <c r="B46" s="90" t="s">
        <v>460</v>
      </c>
      <c r="C46" s="90" t="s">
        <v>1252</v>
      </c>
      <c r="D46" s="91">
        <v>26268</v>
      </c>
      <c r="E46" s="90">
        <v>54</v>
      </c>
      <c r="F46" s="90" t="s">
        <v>11</v>
      </c>
      <c r="G46" s="90" t="s">
        <v>10</v>
      </c>
      <c r="H46" s="90" t="s">
        <v>10</v>
      </c>
      <c r="I46" s="91">
        <v>45383</v>
      </c>
      <c r="J46" s="90" t="s">
        <v>774</v>
      </c>
      <c r="K46" s="90" t="s">
        <v>432</v>
      </c>
      <c r="L46" s="90" t="s">
        <v>7</v>
      </c>
      <c r="M46" s="90" t="s">
        <v>396</v>
      </c>
      <c r="N46" s="88"/>
      <c r="O46" s="91">
        <v>45918</v>
      </c>
      <c r="P46" s="91">
        <v>45952</v>
      </c>
      <c r="Q46" s="91">
        <v>45953</v>
      </c>
      <c r="R46" s="91">
        <v>45959</v>
      </c>
      <c r="S46" s="88"/>
      <c r="T46" s="88"/>
      <c r="U46" s="88"/>
      <c r="V46" s="90" t="s">
        <v>32</v>
      </c>
      <c r="W46" s="90">
        <v>1</v>
      </c>
      <c r="X46" s="90" t="s">
        <v>228</v>
      </c>
      <c r="Y46" s="88"/>
      <c r="Z46" s="88"/>
      <c r="AA46" s="88"/>
      <c r="AB46" s="88"/>
      <c r="AC46" s="92">
        <v>45952.681944444441</v>
      </c>
    </row>
    <row r="47" spans="1:29" customFormat="1" ht="16" x14ac:dyDescent="0.2">
      <c r="A47" s="90" t="s">
        <v>0</v>
      </c>
      <c r="B47" s="90" t="s">
        <v>1410</v>
      </c>
      <c r="C47" s="90" t="s">
        <v>1411</v>
      </c>
      <c r="D47" s="91">
        <v>28881</v>
      </c>
      <c r="E47" s="90">
        <v>46</v>
      </c>
      <c r="F47" s="90" t="s">
        <v>10</v>
      </c>
      <c r="G47" s="90" t="s">
        <v>10</v>
      </c>
      <c r="H47" s="90" t="s">
        <v>10</v>
      </c>
      <c r="I47" s="91">
        <v>45597</v>
      </c>
      <c r="J47" s="90" t="s">
        <v>1279</v>
      </c>
      <c r="K47" s="90" t="s">
        <v>1280</v>
      </c>
      <c r="L47" s="90" t="s">
        <v>7</v>
      </c>
      <c r="M47" s="90" t="s">
        <v>1281</v>
      </c>
      <c r="N47" s="88"/>
      <c r="O47" s="91">
        <v>45916</v>
      </c>
      <c r="P47" s="91">
        <v>45952</v>
      </c>
      <c r="Q47" s="91">
        <v>45953</v>
      </c>
      <c r="R47" s="91">
        <v>45960</v>
      </c>
      <c r="S47" s="88"/>
      <c r="T47" s="88"/>
      <c r="U47" s="88"/>
      <c r="V47" s="90" t="s">
        <v>32</v>
      </c>
      <c r="W47" s="90">
        <v>1</v>
      </c>
      <c r="X47" s="90" t="s">
        <v>228</v>
      </c>
      <c r="Y47" s="88"/>
      <c r="Z47" s="88"/>
      <c r="AA47" s="88"/>
      <c r="AB47" s="88"/>
      <c r="AC47" s="92">
        <v>45952.678472222222</v>
      </c>
    </row>
    <row r="48" spans="1:29" customFormat="1" ht="16" x14ac:dyDescent="0.2">
      <c r="A48" s="90" t="s">
        <v>0</v>
      </c>
      <c r="B48" s="90" t="s">
        <v>157</v>
      </c>
      <c r="C48" s="90" t="s">
        <v>1412</v>
      </c>
      <c r="D48" s="91">
        <v>27542</v>
      </c>
      <c r="E48" s="90">
        <v>50</v>
      </c>
      <c r="F48" s="90" t="s">
        <v>11</v>
      </c>
      <c r="G48" s="90" t="s">
        <v>10</v>
      </c>
      <c r="H48" s="90" t="s">
        <v>10</v>
      </c>
      <c r="I48" s="91">
        <v>45352</v>
      </c>
      <c r="J48" s="90" t="s">
        <v>234</v>
      </c>
      <c r="K48" s="90" t="s">
        <v>1413</v>
      </c>
      <c r="L48" s="90" t="s">
        <v>7</v>
      </c>
      <c r="M48" s="90" t="s">
        <v>6</v>
      </c>
      <c r="N48" s="88"/>
      <c r="O48" s="91">
        <v>45916</v>
      </c>
      <c r="P48" s="88"/>
      <c r="Q48" s="88"/>
      <c r="R48" s="88"/>
      <c r="S48" s="88"/>
      <c r="T48" s="88"/>
      <c r="U48" s="88"/>
      <c r="V48" s="90" t="s">
        <v>341</v>
      </c>
      <c r="W48" s="90">
        <v>0</v>
      </c>
      <c r="X48" s="88"/>
      <c r="Y48" s="88"/>
      <c r="Z48" s="88"/>
      <c r="AA48" s="88"/>
      <c r="AB48" s="88"/>
      <c r="AC48" s="92">
        <v>45916.494444444441</v>
      </c>
    </row>
    <row r="49" spans="1:29" customFormat="1" ht="16" x14ac:dyDescent="0.2">
      <c r="A49" s="90" t="s">
        <v>0</v>
      </c>
      <c r="B49" s="90" t="s">
        <v>1090</v>
      </c>
      <c r="C49" s="90" t="s">
        <v>1414</v>
      </c>
      <c r="D49" s="91">
        <v>36461</v>
      </c>
      <c r="E49" s="90">
        <v>26</v>
      </c>
      <c r="F49" s="90" t="s">
        <v>11</v>
      </c>
      <c r="G49" s="90" t="s">
        <v>10</v>
      </c>
      <c r="H49" s="90" t="s">
        <v>10</v>
      </c>
      <c r="I49" s="91">
        <v>45658</v>
      </c>
      <c r="J49" s="90" t="s">
        <v>35</v>
      </c>
      <c r="K49" s="90" t="s">
        <v>781</v>
      </c>
      <c r="L49" s="90" t="s">
        <v>4</v>
      </c>
      <c r="M49" s="90" t="s">
        <v>6</v>
      </c>
      <c r="N49" s="88"/>
      <c r="O49" s="91">
        <v>45916</v>
      </c>
      <c r="P49" s="88"/>
      <c r="Q49" s="88"/>
      <c r="R49" s="88"/>
      <c r="S49" s="88"/>
      <c r="T49" s="88"/>
      <c r="U49" s="88"/>
      <c r="V49" s="90" t="s">
        <v>227</v>
      </c>
      <c r="W49" s="90">
        <v>0</v>
      </c>
      <c r="X49" s="88"/>
      <c r="Y49" s="88"/>
      <c r="Z49" s="88"/>
      <c r="AA49" s="88"/>
      <c r="AB49" s="88"/>
      <c r="AC49" s="92">
        <v>45923.583333333336</v>
      </c>
    </row>
    <row r="50" spans="1:29" customFormat="1" ht="16" x14ac:dyDescent="0.2">
      <c r="A50" s="90" t="s">
        <v>0</v>
      </c>
      <c r="B50" s="90" t="s">
        <v>1415</v>
      </c>
      <c r="C50" s="90" t="s">
        <v>1416</v>
      </c>
      <c r="D50" s="91">
        <v>32991</v>
      </c>
      <c r="E50" s="90">
        <v>35</v>
      </c>
      <c r="F50" s="90" t="s">
        <v>11</v>
      </c>
      <c r="G50" s="90" t="s">
        <v>10</v>
      </c>
      <c r="H50" s="90" t="s">
        <v>10</v>
      </c>
      <c r="I50" s="91">
        <v>45770</v>
      </c>
      <c r="J50" s="90" t="s">
        <v>273</v>
      </c>
      <c r="K50" s="90" t="s">
        <v>292</v>
      </c>
      <c r="L50" s="90" t="s">
        <v>3</v>
      </c>
      <c r="M50" s="90" t="s">
        <v>6</v>
      </c>
      <c r="N50" s="90" t="s">
        <v>119</v>
      </c>
      <c r="O50" s="91">
        <v>45916</v>
      </c>
      <c r="P50" s="91">
        <v>45916</v>
      </c>
      <c r="Q50" s="91">
        <v>45922</v>
      </c>
      <c r="R50" s="91">
        <v>45930</v>
      </c>
      <c r="S50" s="91">
        <v>45930</v>
      </c>
      <c r="T50" s="88"/>
      <c r="U50" s="88"/>
      <c r="V50" s="90" t="s">
        <v>32</v>
      </c>
      <c r="W50" s="90">
        <v>1</v>
      </c>
      <c r="X50" s="90" t="s">
        <v>118</v>
      </c>
      <c r="Y50" s="91">
        <v>45901</v>
      </c>
      <c r="Z50" s="91">
        <v>46081</v>
      </c>
      <c r="AA50" s="88"/>
      <c r="AB50" s="88"/>
      <c r="AC50" s="92">
        <v>45930.406944444447</v>
      </c>
    </row>
    <row r="51" spans="1:29" customFormat="1" ht="16" x14ac:dyDescent="0.2">
      <c r="A51" s="90" t="s">
        <v>0</v>
      </c>
      <c r="B51" s="90" t="s">
        <v>584</v>
      </c>
      <c r="C51" s="90" t="s">
        <v>1348</v>
      </c>
      <c r="D51" s="91">
        <v>28595</v>
      </c>
      <c r="E51" s="90">
        <v>47</v>
      </c>
      <c r="F51" s="90" t="s">
        <v>11</v>
      </c>
      <c r="G51" s="90" t="s">
        <v>10</v>
      </c>
      <c r="H51" s="90" t="s">
        <v>10</v>
      </c>
      <c r="I51" s="91">
        <v>44013</v>
      </c>
      <c r="J51" s="90" t="s">
        <v>179</v>
      </c>
      <c r="K51" s="90" t="s">
        <v>675</v>
      </c>
      <c r="L51" s="90" t="s">
        <v>4</v>
      </c>
      <c r="M51" s="90" t="s">
        <v>6</v>
      </c>
      <c r="N51" s="88"/>
      <c r="O51" s="91">
        <v>45916</v>
      </c>
      <c r="P51" s="88"/>
      <c r="Q51" s="88"/>
      <c r="R51" s="88"/>
      <c r="S51" s="88"/>
      <c r="T51" s="88"/>
      <c r="U51" s="88"/>
      <c r="V51" s="90" t="s">
        <v>227</v>
      </c>
      <c r="W51" s="90">
        <v>0</v>
      </c>
      <c r="X51" s="88"/>
      <c r="Y51" s="88"/>
      <c r="Z51" s="88"/>
      <c r="AA51" s="88"/>
      <c r="AB51" s="88"/>
      <c r="AC51" s="92">
        <v>45933.486111111109</v>
      </c>
    </row>
    <row r="52" spans="1:29" customFormat="1" ht="16" x14ac:dyDescent="0.2">
      <c r="A52" s="90" t="s">
        <v>1</v>
      </c>
      <c r="B52" s="90" t="s">
        <v>1417</v>
      </c>
      <c r="C52" s="90" t="s">
        <v>1418</v>
      </c>
      <c r="D52" s="91">
        <v>23395</v>
      </c>
      <c r="E52" s="90">
        <v>61</v>
      </c>
      <c r="F52" s="90" t="s">
        <v>11</v>
      </c>
      <c r="G52" s="90" t="s">
        <v>10</v>
      </c>
      <c r="H52" s="90" t="s">
        <v>10</v>
      </c>
      <c r="I52" s="91">
        <v>44927</v>
      </c>
      <c r="J52" s="90" t="s">
        <v>734</v>
      </c>
      <c r="K52" s="90" t="s">
        <v>735</v>
      </c>
      <c r="L52" s="90" t="s">
        <v>4</v>
      </c>
      <c r="M52" s="90" t="s">
        <v>6</v>
      </c>
      <c r="N52" s="90" t="s">
        <v>174</v>
      </c>
      <c r="O52" s="91">
        <v>45915</v>
      </c>
      <c r="P52" s="91">
        <v>45916</v>
      </c>
      <c r="Q52" s="91">
        <v>45918</v>
      </c>
      <c r="R52" s="91">
        <v>45937</v>
      </c>
      <c r="S52" s="91">
        <v>45937</v>
      </c>
      <c r="T52" s="88"/>
      <c r="U52" s="88"/>
      <c r="V52" s="90" t="s">
        <v>32</v>
      </c>
      <c r="W52" s="90">
        <v>1</v>
      </c>
      <c r="X52" s="90" t="s">
        <v>228</v>
      </c>
      <c r="Y52" s="91">
        <v>45931</v>
      </c>
      <c r="Z52" s="91">
        <v>46112</v>
      </c>
      <c r="AA52" s="88"/>
      <c r="AB52" s="88"/>
      <c r="AC52" s="92">
        <v>45937.659722222219</v>
      </c>
    </row>
    <row r="53" spans="1:29" customFormat="1" ht="16" x14ac:dyDescent="0.2">
      <c r="A53" s="90" t="s">
        <v>0</v>
      </c>
      <c r="B53" s="90" t="s">
        <v>1419</v>
      </c>
      <c r="C53" s="90" t="s">
        <v>1420</v>
      </c>
      <c r="D53" s="91">
        <v>38607</v>
      </c>
      <c r="E53" s="90">
        <v>20</v>
      </c>
      <c r="F53" s="90" t="s">
        <v>10</v>
      </c>
      <c r="G53" s="90" t="s">
        <v>10</v>
      </c>
      <c r="H53" s="88"/>
      <c r="I53" s="88"/>
      <c r="J53" s="90" t="s">
        <v>539</v>
      </c>
      <c r="K53" s="90" t="s">
        <v>1325</v>
      </c>
      <c r="L53" s="90" t="s">
        <v>7</v>
      </c>
      <c r="M53" s="90" t="s">
        <v>9</v>
      </c>
      <c r="N53" s="88"/>
      <c r="O53" s="91">
        <v>45915</v>
      </c>
      <c r="P53" s="88"/>
      <c r="Q53" s="88"/>
      <c r="R53" s="88"/>
      <c r="S53" s="88"/>
      <c r="T53" s="88"/>
      <c r="U53" s="88"/>
      <c r="V53" s="90" t="s">
        <v>341</v>
      </c>
      <c r="W53" s="90">
        <v>0</v>
      </c>
      <c r="X53" s="88"/>
      <c r="Y53" s="88"/>
      <c r="Z53" s="88"/>
      <c r="AA53" s="88"/>
      <c r="AB53" s="88"/>
      <c r="AC53" s="92">
        <v>45915.563194444447</v>
      </c>
    </row>
    <row r="54" spans="1:29" customFormat="1" ht="16" x14ac:dyDescent="0.2">
      <c r="A54" s="90" t="s">
        <v>1</v>
      </c>
      <c r="B54" s="90" t="s">
        <v>1424</v>
      </c>
      <c r="C54" s="90" t="s">
        <v>1425</v>
      </c>
      <c r="D54" s="91">
        <v>27541</v>
      </c>
      <c r="E54" s="90">
        <v>50</v>
      </c>
      <c r="F54" s="90" t="s">
        <v>11</v>
      </c>
      <c r="G54" s="88"/>
      <c r="H54" s="88"/>
      <c r="I54" s="91">
        <v>45413</v>
      </c>
      <c r="J54" s="90" t="s">
        <v>774</v>
      </c>
      <c r="K54" s="90" t="s">
        <v>432</v>
      </c>
      <c r="L54" s="90" t="s">
        <v>7</v>
      </c>
      <c r="M54" s="90" t="s">
        <v>396</v>
      </c>
      <c r="N54" s="88"/>
      <c r="O54" s="91">
        <v>45912</v>
      </c>
      <c r="P54" s="91">
        <v>45952</v>
      </c>
      <c r="Q54" s="88"/>
      <c r="R54" s="88"/>
      <c r="S54" s="88"/>
      <c r="T54" s="88"/>
      <c r="U54" s="88"/>
      <c r="V54" s="90" t="s">
        <v>32</v>
      </c>
      <c r="W54" s="90">
        <v>0</v>
      </c>
      <c r="X54" s="88"/>
      <c r="Y54" s="88"/>
      <c r="Z54" s="88"/>
      <c r="AA54" s="88"/>
      <c r="AB54" s="88"/>
      <c r="AC54" s="92">
        <v>45952.677083333336</v>
      </c>
    </row>
    <row r="55" spans="1:29" customFormat="1" ht="16" x14ac:dyDescent="0.2">
      <c r="A55" s="90" t="s">
        <v>0</v>
      </c>
      <c r="B55" s="90" t="s">
        <v>1426</v>
      </c>
      <c r="C55" s="90" t="s">
        <v>1427</v>
      </c>
      <c r="D55" s="91">
        <v>24016</v>
      </c>
      <c r="E55" s="90">
        <v>60</v>
      </c>
      <c r="F55" s="90" t="s">
        <v>11</v>
      </c>
      <c r="G55" s="90" t="s">
        <v>10</v>
      </c>
      <c r="H55" s="90" t="s">
        <v>10</v>
      </c>
      <c r="I55" s="91">
        <v>45778</v>
      </c>
      <c r="J55" s="90" t="s">
        <v>429</v>
      </c>
      <c r="K55" s="90" t="s">
        <v>397</v>
      </c>
      <c r="L55" s="90" t="s">
        <v>7</v>
      </c>
      <c r="M55" s="90" t="s">
        <v>6</v>
      </c>
      <c r="N55" s="88"/>
      <c r="O55" s="91">
        <v>45912</v>
      </c>
      <c r="P55" s="88"/>
      <c r="Q55" s="88"/>
      <c r="R55" s="88"/>
      <c r="S55" s="88"/>
      <c r="T55" s="88"/>
      <c r="U55" s="88"/>
      <c r="V55" s="90" t="s">
        <v>341</v>
      </c>
      <c r="W55" s="90">
        <v>0</v>
      </c>
      <c r="X55" s="88"/>
      <c r="Y55" s="88"/>
      <c r="Z55" s="88"/>
      <c r="AA55" s="88"/>
      <c r="AB55" s="88"/>
      <c r="AC55" s="92">
        <v>45912.661805555559</v>
      </c>
    </row>
    <row r="56" spans="1:29" customFormat="1" ht="16" x14ac:dyDescent="0.2">
      <c r="A56" s="90" t="s">
        <v>0</v>
      </c>
      <c r="B56" s="90" t="s">
        <v>1423</v>
      </c>
      <c r="C56" s="90" t="s">
        <v>1081</v>
      </c>
      <c r="D56" s="91">
        <v>28075</v>
      </c>
      <c r="E56" s="90">
        <v>49</v>
      </c>
      <c r="F56" s="90" t="s">
        <v>11</v>
      </c>
      <c r="G56" s="90" t="s">
        <v>11</v>
      </c>
      <c r="H56" s="90" t="s">
        <v>10</v>
      </c>
      <c r="I56" s="91">
        <v>45078</v>
      </c>
      <c r="J56" s="90" t="s">
        <v>34</v>
      </c>
      <c r="K56" s="90" t="s">
        <v>1401</v>
      </c>
      <c r="L56" s="90" t="s">
        <v>5</v>
      </c>
      <c r="M56" s="90" t="s">
        <v>6</v>
      </c>
      <c r="N56" s="88"/>
      <c r="O56" s="91">
        <v>45912</v>
      </c>
      <c r="P56" s="91">
        <v>45919</v>
      </c>
      <c r="Q56" s="91">
        <v>45953</v>
      </c>
      <c r="R56" s="91">
        <v>45966</v>
      </c>
      <c r="S56" s="88"/>
      <c r="T56" s="88"/>
      <c r="U56" s="88"/>
      <c r="V56" s="90" t="s">
        <v>32</v>
      </c>
      <c r="W56" s="90">
        <v>1</v>
      </c>
      <c r="X56" s="90" t="s">
        <v>228</v>
      </c>
      <c r="Y56" s="88"/>
      <c r="Z56" s="88"/>
      <c r="AA56" s="88"/>
      <c r="AB56" s="88"/>
      <c r="AC56" s="92">
        <v>45919.568749999999</v>
      </c>
    </row>
    <row r="57" spans="1:29" customFormat="1" ht="16" x14ac:dyDescent="0.2">
      <c r="A57" s="90" t="s">
        <v>1</v>
      </c>
      <c r="B57" s="90" t="s">
        <v>1421</v>
      </c>
      <c r="C57" s="90" t="s">
        <v>1422</v>
      </c>
      <c r="D57" s="91">
        <v>24474</v>
      </c>
      <c r="E57" s="90">
        <v>58</v>
      </c>
      <c r="F57" s="88"/>
      <c r="G57" s="90" t="s">
        <v>10</v>
      </c>
      <c r="H57" s="90" t="s">
        <v>10</v>
      </c>
      <c r="I57" s="91">
        <v>42887</v>
      </c>
      <c r="J57" s="90" t="s">
        <v>159</v>
      </c>
      <c r="K57" s="90" t="s">
        <v>160</v>
      </c>
      <c r="L57" s="90" t="s">
        <v>5</v>
      </c>
      <c r="M57" s="90" t="s">
        <v>6</v>
      </c>
      <c r="N57" s="90" t="s">
        <v>174</v>
      </c>
      <c r="O57" s="91">
        <v>45912</v>
      </c>
      <c r="P57" s="91">
        <v>45952</v>
      </c>
      <c r="Q57" s="91">
        <v>45929</v>
      </c>
      <c r="R57" s="91">
        <v>45945</v>
      </c>
      <c r="S57" s="91">
        <v>45945</v>
      </c>
      <c r="T57" s="88"/>
      <c r="U57" s="88"/>
      <c r="V57" s="90" t="s">
        <v>32</v>
      </c>
      <c r="W57" s="90">
        <v>1</v>
      </c>
      <c r="X57" s="90" t="s">
        <v>228</v>
      </c>
      <c r="Y57" s="91">
        <v>45931</v>
      </c>
      <c r="Z57" s="91">
        <v>46112</v>
      </c>
      <c r="AA57" s="88"/>
      <c r="AB57" s="88"/>
      <c r="AC57" s="92">
        <v>45952.477777777778</v>
      </c>
    </row>
    <row r="58" spans="1:29" customFormat="1" ht="16" x14ac:dyDescent="0.2">
      <c r="A58" s="90" t="s">
        <v>0</v>
      </c>
      <c r="B58" s="90" t="s">
        <v>257</v>
      </c>
      <c r="C58" s="90" t="s">
        <v>1363</v>
      </c>
      <c r="D58" s="91">
        <v>33146</v>
      </c>
      <c r="E58" s="90">
        <v>35</v>
      </c>
      <c r="F58" s="90" t="s">
        <v>11</v>
      </c>
      <c r="G58" s="90" t="s">
        <v>10</v>
      </c>
      <c r="H58" s="90" t="s">
        <v>10</v>
      </c>
      <c r="I58" s="91">
        <v>40179</v>
      </c>
      <c r="J58" s="90" t="s">
        <v>1078</v>
      </c>
      <c r="K58" s="90" t="s">
        <v>1079</v>
      </c>
      <c r="L58" s="90" t="s">
        <v>7</v>
      </c>
      <c r="M58" s="90" t="s">
        <v>6</v>
      </c>
      <c r="N58" s="88"/>
      <c r="O58" s="91">
        <v>45911</v>
      </c>
      <c r="P58" s="91">
        <v>45917</v>
      </c>
      <c r="Q58" s="91">
        <v>45918</v>
      </c>
      <c r="R58" s="91">
        <v>45940</v>
      </c>
      <c r="S58" s="88"/>
      <c r="T58" s="88"/>
      <c r="U58" s="88"/>
      <c r="V58" s="90" t="s">
        <v>32</v>
      </c>
      <c r="W58" s="90">
        <v>1</v>
      </c>
      <c r="X58" s="90" t="s">
        <v>228</v>
      </c>
      <c r="Y58" s="88"/>
      <c r="Z58" s="88"/>
      <c r="AA58" s="88"/>
      <c r="AB58" s="88"/>
      <c r="AC58" s="92">
        <v>45917.655555555553</v>
      </c>
    </row>
    <row r="59" spans="1:29" customFormat="1" ht="16" x14ac:dyDescent="0.2">
      <c r="A59" s="90" t="s">
        <v>0</v>
      </c>
      <c r="B59" s="90" t="s">
        <v>1364</v>
      </c>
      <c r="C59" s="90" t="s">
        <v>1365</v>
      </c>
      <c r="D59" s="91">
        <v>33126</v>
      </c>
      <c r="E59" s="90">
        <v>35</v>
      </c>
      <c r="F59" s="90" t="s">
        <v>11</v>
      </c>
      <c r="G59" s="90" t="s">
        <v>10</v>
      </c>
      <c r="H59" s="90" t="s">
        <v>10</v>
      </c>
      <c r="I59" s="91">
        <v>44197</v>
      </c>
      <c r="J59" s="90" t="s">
        <v>148</v>
      </c>
      <c r="K59" s="90" t="s">
        <v>1029</v>
      </c>
      <c r="L59" s="90" t="s">
        <v>4</v>
      </c>
      <c r="M59" s="90" t="s">
        <v>6</v>
      </c>
      <c r="N59" s="90" t="s">
        <v>174</v>
      </c>
      <c r="O59" s="91">
        <v>45911</v>
      </c>
      <c r="P59" s="91">
        <v>45916</v>
      </c>
      <c r="Q59" s="91">
        <v>45918</v>
      </c>
      <c r="R59" s="91">
        <v>45937</v>
      </c>
      <c r="S59" s="91">
        <v>45943</v>
      </c>
      <c r="T59" s="88"/>
      <c r="U59" s="88"/>
      <c r="V59" s="90" t="s">
        <v>32</v>
      </c>
      <c r="W59" s="90">
        <v>2</v>
      </c>
      <c r="X59" s="90" t="s">
        <v>228</v>
      </c>
      <c r="Y59" s="91">
        <v>45931</v>
      </c>
      <c r="Z59" s="91">
        <v>46112</v>
      </c>
      <c r="AA59" s="88"/>
      <c r="AB59" s="88"/>
      <c r="AC59" s="92">
        <v>45943.643750000003</v>
      </c>
    </row>
    <row r="60" spans="1:29" customFormat="1" ht="16" x14ac:dyDescent="0.2">
      <c r="A60" s="90" t="s">
        <v>0</v>
      </c>
      <c r="B60" s="90" t="s">
        <v>502</v>
      </c>
      <c r="C60" s="90" t="s">
        <v>1366</v>
      </c>
      <c r="D60" s="91">
        <v>28803</v>
      </c>
      <c r="E60" s="90">
        <v>47</v>
      </c>
      <c r="F60" s="90" t="s">
        <v>11</v>
      </c>
      <c r="G60" s="90" t="s">
        <v>11</v>
      </c>
      <c r="H60" s="90" t="s">
        <v>10</v>
      </c>
      <c r="I60" s="91">
        <v>39965</v>
      </c>
      <c r="J60" s="90" t="s">
        <v>1040</v>
      </c>
      <c r="K60" s="90" t="s">
        <v>1041</v>
      </c>
      <c r="L60" s="90" t="s">
        <v>3</v>
      </c>
      <c r="M60" s="90" t="s">
        <v>396</v>
      </c>
      <c r="N60" s="90" t="s">
        <v>117</v>
      </c>
      <c r="O60" s="91">
        <v>45911</v>
      </c>
      <c r="P60" s="91">
        <v>45916</v>
      </c>
      <c r="Q60" s="91">
        <v>45916</v>
      </c>
      <c r="R60" s="91">
        <v>45922</v>
      </c>
      <c r="S60" s="91">
        <v>45922</v>
      </c>
      <c r="T60" s="88"/>
      <c r="U60" s="88"/>
      <c r="V60" s="90" t="s">
        <v>32</v>
      </c>
      <c r="W60" s="90">
        <v>1</v>
      </c>
      <c r="X60" s="90" t="s">
        <v>118</v>
      </c>
      <c r="Y60" s="91">
        <v>45901</v>
      </c>
      <c r="Z60" s="91">
        <v>46081</v>
      </c>
      <c r="AA60" s="88"/>
      <c r="AB60" s="88"/>
      <c r="AC60" s="92">
        <v>45922.631249999999</v>
      </c>
    </row>
    <row r="61" spans="1:29" customFormat="1" ht="16" x14ac:dyDescent="0.2">
      <c r="A61" s="90" t="s">
        <v>0</v>
      </c>
      <c r="B61" s="90" t="s">
        <v>1367</v>
      </c>
      <c r="C61" s="90" t="s">
        <v>1368</v>
      </c>
      <c r="D61" s="91">
        <v>36371</v>
      </c>
      <c r="E61" s="90">
        <v>26</v>
      </c>
      <c r="F61" s="90" t="s">
        <v>11</v>
      </c>
      <c r="G61" s="90" t="s">
        <v>10</v>
      </c>
      <c r="H61" s="90" t="s">
        <v>10</v>
      </c>
      <c r="I61" s="91">
        <v>45505</v>
      </c>
      <c r="J61" s="90" t="s">
        <v>427</v>
      </c>
      <c r="K61" s="90" t="s">
        <v>428</v>
      </c>
      <c r="L61" s="90" t="s">
        <v>7</v>
      </c>
      <c r="M61" s="90" t="s">
        <v>6</v>
      </c>
      <c r="N61" s="90" t="s">
        <v>119</v>
      </c>
      <c r="O61" s="91">
        <v>45911</v>
      </c>
      <c r="P61" s="91">
        <v>45931</v>
      </c>
      <c r="Q61" s="91">
        <v>45937</v>
      </c>
      <c r="R61" s="91">
        <v>45951</v>
      </c>
      <c r="S61" s="91">
        <v>45951</v>
      </c>
      <c r="T61" s="88"/>
      <c r="U61" s="88"/>
      <c r="V61" s="90" t="s">
        <v>32</v>
      </c>
      <c r="W61" s="90">
        <v>1</v>
      </c>
      <c r="X61" s="90" t="s">
        <v>228</v>
      </c>
      <c r="Y61" s="91">
        <v>45931</v>
      </c>
      <c r="Z61" s="91">
        <v>46112</v>
      </c>
      <c r="AA61" s="88"/>
      <c r="AB61" s="88"/>
      <c r="AC61" s="92">
        <v>45951.700694444444</v>
      </c>
    </row>
    <row r="62" spans="1:29" customFormat="1" ht="16" x14ac:dyDescent="0.2">
      <c r="A62" s="90" t="s">
        <v>1</v>
      </c>
      <c r="B62" s="90" t="s">
        <v>1369</v>
      </c>
      <c r="C62" s="90" t="s">
        <v>1370</v>
      </c>
      <c r="D62" s="91">
        <v>23971</v>
      </c>
      <c r="E62" s="90">
        <v>60</v>
      </c>
      <c r="F62" s="88"/>
      <c r="G62" s="90" t="s">
        <v>10</v>
      </c>
      <c r="H62" s="88"/>
      <c r="I62" s="91">
        <v>40452</v>
      </c>
      <c r="J62" s="90" t="s">
        <v>1371</v>
      </c>
      <c r="K62" s="90" t="s">
        <v>1372</v>
      </c>
      <c r="L62" s="90" t="s">
        <v>7</v>
      </c>
      <c r="M62" s="90" t="s">
        <v>6</v>
      </c>
      <c r="N62" s="88"/>
      <c r="O62" s="91">
        <v>45911</v>
      </c>
      <c r="P62" s="88"/>
      <c r="Q62" s="88"/>
      <c r="R62" s="88"/>
      <c r="S62" s="88"/>
      <c r="T62" s="88"/>
      <c r="U62" s="88"/>
      <c r="V62" s="90" t="s">
        <v>227</v>
      </c>
      <c r="W62" s="90">
        <v>0</v>
      </c>
      <c r="X62" s="88"/>
      <c r="Y62" s="88"/>
      <c r="Z62" s="88"/>
      <c r="AA62" s="88"/>
      <c r="AB62" s="88"/>
      <c r="AC62" s="92">
        <v>45933.694444444445</v>
      </c>
    </row>
    <row r="63" spans="1:29" customFormat="1" ht="16" x14ac:dyDescent="0.2">
      <c r="A63" s="90" t="s">
        <v>0</v>
      </c>
      <c r="B63" s="90" t="s">
        <v>1373</v>
      </c>
      <c r="C63" s="90" t="s">
        <v>1374</v>
      </c>
      <c r="D63" s="91">
        <v>24014</v>
      </c>
      <c r="E63" s="90">
        <v>60</v>
      </c>
      <c r="F63" s="90" t="s">
        <v>10</v>
      </c>
      <c r="G63" s="90" t="s">
        <v>10</v>
      </c>
      <c r="H63" s="90" t="s">
        <v>10</v>
      </c>
      <c r="I63" s="91">
        <v>43586</v>
      </c>
      <c r="J63" s="90" t="s">
        <v>241</v>
      </c>
      <c r="K63" s="90" t="s">
        <v>242</v>
      </c>
      <c r="L63" s="90" t="s">
        <v>5</v>
      </c>
      <c r="M63" s="90" t="s">
        <v>6</v>
      </c>
      <c r="N63" s="90" t="s">
        <v>119</v>
      </c>
      <c r="O63" s="91">
        <v>45910</v>
      </c>
      <c r="P63" s="91">
        <v>45910</v>
      </c>
      <c r="Q63" s="91">
        <v>45911</v>
      </c>
      <c r="R63" s="91">
        <v>45952</v>
      </c>
      <c r="S63" s="91">
        <v>45952</v>
      </c>
      <c r="T63" s="88"/>
      <c r="U63" s="88"/>
      <c r="V63" s="90" t="s">
        <v>32</v>
      </c>
      <c r="W63" s="90">
        <v>1</v>
      </c>
      <c r="X63" s="90" t="s">
        <v>228</v>
      </c>
      <c r="Y63" s="91">
        <v>45931</v>
      </c>
      <c r="Z63" s="91">
        <v>46112</v>
      </c>
      <c r="AA63" s="88"/>
      <c r="AB63" s="88"/>
      <c r="AC63" s="92">
        <v>45952.412499999999</v>
      </c>
    </row>
    <row r="64" spans="1:29" customFormat="1" ht="16" x14ac:dyDescent="0.2">
      <c r="A64" s="90" t="s">
        <v>0</v>
      </c>
      <c r="B64" s="90" t="s">
        <v>824</v>
      </c>
      <c r="C64" s="90" t="s">
        <v>825</v>
      </c>
      <c r="D64" s="91">
        <v>35868</v>
      </c>
      <c r="E64" s="90">
        <v>27</v>
      </c>
      <c r="F64" s="90" t="s">
        <v>11</v>
      </c>
      <c r="G64" s="90" t="s">
        <v>11</v>
      </c>
      <c r="H64" s="90" t="s">
        <v>10</v>
      </c>
      <c r="I64" s="91">
        <v>45047</v>
      </c>
      <c r="J64" s="90" t="s">
        <v>1286</v>
      </c>
      <c r="K64" s="90" t="s">
        <v>1375</v>
      </c>
      <c r="L64" s="90" t="s">
        <v>5</v>
      </c>
      <c r="M64" s="90" t="s">
        <v>6</v>
      </c>
      <c r="N64" s="90" t="s">
        <v>119</v>
      </c>
      <c r="O64" s="91">
        <v>45910</v>
      </c>
      <c r="P64" s="91">
        <v>45910</v>
      </c>
      <c r="Q64" s="91">
        <v>45911</v>
      </c>
      <c r="R64" s="91">
        <v>45938</v>
      </c>
      <c r="S64" s="91">
        <v>45938</v>
      </c>
      <c r="T64" s="88"/>
      <c r="U64" s="90" t="s">
        <v>319</v>
      </c>
      <c r="V64" s="90" t="s">
        <v>32</v>
      </c>
      <c r="W64" s="90">
        <v>2</v>
      </c>
      <c r="X64" s="90" t="s">
        <v>228</v>
      </c>
      <c r="Y64" s="91">
        <v>45931</v>
      </c>
      <c r="Z64" s="91">
        <v>46112</v>
      </c>
      <c r="AA64" s="88"/>
      <c r="AB64" s="88"/>
      <c r="AC64" s="92">
        <v>45938.44027777778</v>
      </c>
    </row>
    <row r="65" spans="1:29" customFormat="1" ht="16" x14ac:dyDescent="0.2">
      <c r="A65" s="90" t="s">
        <v>0</v>
      </c>
      <c r="B65" s="90" t="s">
        <v>1380</v>
      </c>
      <c r="C65" s="90" t="s">
        <v>1381</v>
      </c>
      <c r="D65" s="91">
        <v>34123</v>
      </c>
      <c r="E65" s="90">
        <v>32</v>
      </c>
      <c r="F65" s="90" t="s">
        <v>10</v>
      </c>
      <c r="G65" s="90" t="s">
        <v>10</v>
      </c>
      <c r="H65" s="90" t="s">
        <v>10</v>
      </c>
      <c r="I65" s="91">
        <v>45383</v>
      </c>
      <c r="J65" s="90" t="s">
        <v>409</v>
      </c>
      <c r="K65" s="90" t="s">
        <v>959</v>
      </c>
      <c r="L65" s="90" t="s">
        <v>7</v>
      </c>
      <c r="M65" s="90" t="s">
        <v>6</v>
      </c>
      <c r="N65" s="90" t="s">
        <v>119</v>
      </c>
      <c r="O65" s="91">
        <v>45908</v>
      </c>
      <c r="P65" s="91">
        <v>45952</v>
      </c>
      <c r="Q65" s="91">
        <v>45953</v>
      </c>
      <c r="R65" s="91">
        <v>45958</v>
      </c>
      <c r="S65" s="91">
        <v>45958</v>
      </c>
      <c r="T65" s="88"/>
      <c r="U65" s="88"/>
      <c r="V65" s="90" t="s">
        <v>32</v>
      </c>
      <c r="W65" s="90">
        <v>1</v>
      </c>
      <c r="X65" s="90" t="s">
        <v>228</v>
      </c>
      <c r="Y65" s="91">
        <v>45931</v>
      </c>
      <c r="Z65" s="91">
        <v>46112</v>
      </c>
      <c r="AA65" s="88"/>
      <c r="AB65" s="88"/>
      <c r="AC65" s="92">
        <v>45958.663888888892</v>
      </c>
    </row>
    <row r="66" spans="1:29" customFormat="1" ht="16" x14ac:dyDescent="0.2">
      <c r="A66" s="90" t="s">
        <v>1</v>
      </c>
      <c r="B66" s="90" t="s">
        <v>1378</v>
      </c>
      <c r="C66" s="90" t="s">
        <v>1379</v>
      </c>
      <c r="D66" s="91">
        <v>27962</v>
      </c>
      <c r="E66" s="90">
        <v>49</v>
      </c>
      <c r="F66" s="90" t="s">
        <v>11</v>
      </c>
      <c r="G66" s="90" t="s">
        <v>10</v>
      </c>
      <c r="H66" s="90" t="s">
        <v>10</v>
      </c>
      <c r="I66" s="91">
        <v>42675</v>
      </c>
      <c r="J66" s="90" t="s">
        <v>583</v>
      </c>
      <c r="K66" s="90" t="s">
        <v>332</v>
      </c>
      <c r="L66" s="90" t="s">
        <v>3</v>
      </c>
      <c r="M66" s="90" t="s">
        <v>6</v>
      </c>
      <c r="N66" s="88"/>
      <c r="O66" s="91">
        <v>45908</v>
      </c>
      <c r="P66" s="91">
        <v>45908</v>
      </c>
      <c r="Q66" s="91">
        <v>45916</v>
      </c>
      <c r="R66" s="91">
        <v>45931</v>
      </c>
      <c r="S66" s="88"/>
      <c r="T66" s="88"/>
      <c r="U66" s="88"/>
      <c r="V66" s="90" t="s">
        <v>32</v>
      </c>
      <c r="W66" s="90">
        <v>1</v>
      </c>
      <c r="X66" s="90" t="s">
        <v>228</v>
      </c>
      <c r="Y66" s="88"/>
      <c r="Z66" s="88"/>
      <c r="AA66" s="88"/>
      <c r="AB66" s="88"/>
      <c r="AC66" s="92">
        <v>45908.643055555556</v>
      </c>
    </row>
    <row r="67" spans="1:29" customFormat="1" ht="16" x14ac:dyDescent="0.2">
      <c r="A67" s="90" t="s">
        <v>0</v>
      </c>
      <c r="B67" s="90" t="s">
        <v>1376</v>
      </c>
      <c r="C67" s="90" t="s">
        <v>1377</v>
      </c>
      <c r="D67" s="91">
        <v>35403</v>
      </c>
      <c r="E67" s="90">
        <v>29</v>
      </c>
      <c r="F67" s="90" t="s">
        <v>11</v>
      </c>
      <c r="G67" s="90" t="s">
        <v>11</v>
      </c>
      <c r="H67" s="90" t="s">
        <v>10</v>
      </c>
      <c r="I67" s="91">
        <v>44896</v>
      </c>
      <c r="J67" s="90" t="s">
        <v>148</v>
      </c>
      <c r="K67" s="90" t="s">
        <v>149</v>
      </c>
      <c r="L67" s="90" t="s">
        <v>3</v>
      </c>
      <c r="M67" s="90" t="s">
        <v>6</v>
      </c>
      <c r="N67" s="90" t="s">
        <v>119</v>
      </c>
      <c r="O67" s="91">
        <v>45908</v>
      </c>
      <c r="P67" s="91">
        <v>45908</v>
      </c>
      <c r="Q67" s="91">
        <v>45908</v>
      </c>
      <c r="R67" s="91">
        <v>45916</v>
      </c>
      <c r="S67" s="91">
        <v>45916</v>
      </c>
      <c r="T67" s="88"/>
      <c r="U67" s="88"/>
      <c r="V67" s="90" t="s">
        <v>32</v>
      </c>
      <c r="W67" s="90">
        <v>1</v>
      </c>
      <c r="X67" s="90" t="s">
        <v>118</v>
      </c>
      <c r="Y67" s="91">
        <v>45901</v>
      </c>
      <c r="Z67" s="91">
        <v>46081</v>
      </c>
      <c r="AA67" s="88"/>
      <c r="AB67" s="88"/>
      <c r="AC67" s="92">
        <v>45916.438888888886</v>
      </c>
    </row>
    <row r="68" spans="1:29" customFormat="1" ht="16" x14ac:dyDescent="0.2">
      <c r="A68" s="90" t="s">
        <v>1</v>
      </c>
      <c r="B68" s="90" t="s">
        <v>802</v>
      </c>
      <c r="C68" s="90" t="s">
        <v>1382</v>
      </c>
      <c r="D68" s="91">
        <v>29348</v>
      </c>
      <c r="E68" s="90">
        <v>45</v>
      </c>
      <c r="F68" s="90" t="s">
        <v>11</v>
      </c>
      <c r="G68" s="90" t="s">
        <v>10</v>
      </c>
      <c r="H68" s="90" t="s">
        <v>10</v>
      </c>
      <c r="I68" s="91">
        <v>39814</v>
      </c>
      <c r="J68" s="90" t="s">
        <v>409</v>
      </c>
      <c r="K68" s="90" t="s">
        <v>959</v>
      </c>
      <c r="L68" s="90" t="s">
        <v>7</v>
      </c>
      <c r="M68" s="90" t="s">
        <v>6</v>
      </c>
      <c r="N68" s="88"/>
      <c r="O68" s="91">
        <v>45905</v>
      </c>
      <c r="P68" s="88"/>
      <c r="Q68" s="88"/>
      <c r="R68" s="88"/>
      <c r="S68" s="88"/>
      <c r="T68" s="88"/>
      <c r="U68" s="88"/>
      <c r="V68" s="90" t="s">
        <v>227</v>
      </c>
      <c r="W68" s="90">
        <v>0</v>
      </c>
      <c r="X68" s="88"/>
      <c r="Y68" s="88"/>
      <c r="Z68" s="88"/>
      <c r="AA68" s="88"/>
      <c r="AB68" s="88"/>
      <c r="AC68" s="92">
        <v>45917.652083333334</v>
      </c>
    </row>
    <row r="69" spans="1:29" customFormat="1" ht="16" x14ac:dyDescent="0.2">
      <c r="A69" s="90" t="s">
        <v>1</v>
      </c>
      <c r="B69" s="90" t="s">
        <v>1383</v>
      </c>
      <c r="C69" s="90" t="s">
        <v>1384</v>
      </c>
      <c r="D69" s="91">
        <v>27051</v>
      </c>
      <c r="E69" s="90">
        <v>51</v>
      </c>
      <c r="F69" s="90" t="s">
        <v>11</v>
      </c>
      <c r="G69" s="90" t="s">
        <v>11</v>
      </c>
      <c r="H69" s="90" t="s">
        <v>10</v>
      </c>
      <c r="I69" s="91">
        <v>45908</v>
      </c>
      <c r="J69" s="90" t="s">
        <v>145</v>
      </c>
      <c r="K69" s="90" t="s">
        <v>146</v>
      </c>
      <c r="L69" s="90" t="s">
        <v>3</v>
      </c>
      <c r="M69" s="90" t="s">
        <v>6</v>
      </c>
      <c r="N69" s="88"/>
      <c r="O69" s="91">
        <v>45905</v>
      </c>
      <c r="P69" s="88"/>
      <c r="Q69" s="88"/>
      <c r="R69" s="88"/>
      <c r="S69" s="88"/>
      <c r="T69" s="88"/>
      <c r="U69" s="88"/>
      <c r="V69" s="90" t="s">
        <v>227</v>
      </c>
      <c r="W69" s="90">
        <v>0</v>
      </c>
      <c r="X69" s="88"/>
      <c r="Y69" s="88"/>
      <c r="Z69" s="88"/>
      <c r="AA69" s="88"/>
      <c r="AB69" s="88"/>
      <c r="AC69" s="92">
        <v>45908.445138888892</v>
      </c>
    </row>
    <row r="70" spans="1:29" customFormat="1" ht="16" x14ac:dyDescent="0.2">
      <c r="A70" s="90" t="s">
        <v>0</v>
      </c>
      <c r="B70" s="90" t="s">
        <v>1385</v>
      </c>
      <c r="C70" s="90" t="s">
        <v>1386</v>
      </c>
      <c r="D70" s="91">
        <v>29980</v>
      </c>
      <c r="E70" s="90">
        <v>43</v>
      </c>
      <c r="F70" s="90" t="s">
        <v>10</v>
      </c>
      <c r="G70" s="90" t="s">
        <v>10</v>
      </c>
      <c r="H70" s="90" t="s">
        <v>10</v>
      </c>
      <c r="I70" s="91">
        <v>45551</v>
      </c>
      <c r="J70" s="90" t="s">
        <v>1387</v>
      </c>
      <c r="K70" s="90" t="s">
        <v>1388</v>
      </c>
      <c r="L70" s="90" t="s">
        <v>3</v>
      </c>
      <c r="M70" s="90" t="s">
        <v>6</v>
      </c>
      <c r="N70" s="90" t="s">
        <v>174</v>
      </c>
      <c r="O70" s="91">
        <v>45905</v>
      </c>
      <c r="P70" s="91">
        <v>45908</v>
      </c>
      <c r="Q70" s="91">
        <v>45909</v>
      </c>
      <c r="R70" s="91">
        <v>45929</v>
      </c>
      <c r="S70" s="91">
        <v>45929</v>
      </c>
      <c r="T70" s="88"/>
      <c r="U70" s="88"/>
      <c r="V70" s="90" t="s">
        <v>32</v>
      </c>
      <c r="W70" s="90">
        <v>1</v>
      </c>
      <c r="X70" s="90" t="s">
        <v>118</v>
      </c>
      <c r="Y70" s="91">
        <v>45901</v>
      </c>
      <c r="Z70" s="91">
        <v>46081</v>
      </c>
      <c r="AA70" s="88"/>
      <c r="AB70" s="88"/>
      <c r="AC70" s="92">
        <v>45929.424305555556</v>
      </c>
    </row>
    <row r="71" spans="1:29" customFormat="1" ht="16" x14ac:dyDescent="0.2">
      <c r="A71" s="90" t="s">
        <v>1</v>
      </c>
      <c r="B71" s="90" t="s">
        <v>184</v>
      </c>
      <c r="C71" s="90" t="s">
        <v>1389</v>
      </c>
      <c r="D71" s="91">
        <v>28382</v>
      </c>
      <c r="E71" s="90">
        <v>48</v>
      </c>
      <c r="F71" s="90" t="s">
        <v>11</v>
      </c>
      <c r="G71" s="90" t="s">
        <v>11</v>
      </c>
      <c r="H71" s="90" t="s">
        <v>10</v>
      </c>
      <c r="I71" s="91">
        <v>43983</v>
      </c>
      <c r="J71" s="90" t="s">
        <v>109</v>
      </c>
      <c r="K71" s="90" t="s">
        <v>1390</v>
      </c>
      <c r="L71" s="90" t="s">
        <v>5</v>
      </c>
      <c r="M71" s="90" t="s">
        <v>6</v>
      </c>
      <c r="N71" s="90" t="s">
        <v>119</v>
      </c>
      <c r="O71" s="91">
        <v>45904</v>
      </c>
      <c r="P71" s="91">
        <v>45904</v>
      </c>
      <c r="Q71" s="91">
        <v>45929</v>
      </c>
      <c r="R71" s="91">
        <v>45938</v>
      </c>
      <c r="S71" s="91">
        <v>45938</v>
      </c>
      <c r="T71" s="91">
        <v>45940</v>
      </c>
      <c r="U71" s="90" t="s">
        <v>92</v>
      </c>
      <c r="V71" s="90" t="s">
        <v>224</v>
      </c>
      <c r="W71" s="90">
        <v>1</v>
      </c>
      <c r="X71" s="90" t="s">
        <v>228</v>
      </c>
      <c r="Y71" s="88"/>
      <c r="Z71" s="88"/>
      <c r="AA71" s="88"/>
      <c r="AB71" s="88"/>
      <c r="AC71" s="92">
        <v>45940.677083333336</v>
      </c>
    </row>
    <row r="72" spans="1:29" customFormat="1" ht="16" x14ac:dyDescent="0.2">
      <c r="A72" s="90" t="s">
        <v>0</v>
      </c>
      <c r="B72" s="90" t="s">
        <v>1227</v>
      </c>
      <c r="C72" s="90" t="s">
        <v>1402</v>
      </c>
      <c r="D72" s="91">
        <v>29311</v>
      </c>
      <c r="E72" s="90">
        <v>45</v>
      </c>
      <c r="F72" s="90" t="s">
        <v>11</v>
      </c>
      <c r="G72" s="88"/>
      <c r="H72" s="90" t="s">
        <v>10</v>
      </c>
      <c r="I72" s="91">
        <v>43497</v>
      </c>
      <c r="J72" s="90" t="s">
        <v>351</v>
      </c>
      <c r="K72" s="90" t="s">
        <v>111</v>
      </c>
      <c r="L72" s="90" t="s">
        <v>3</v>
      </c>
      <c r="M72" s="90" t="s">
        <v>6</v>
      </c>
      <c r="N72" s="90" t="s">
        <v>174</v>
      </c>
      <c r="O72" s="91">
        <v>45895</v>
      </c>
      <c r="P72" s="91">
        <v>45904</v>
      </c>
      <c r="Q72" s="91">
        <v>45904</v>
      </c>
      <c r="R72" s="91">
        <v>45909</v>
      </c>
      <c r="S72" s="91">
        <v>45909</v>
      </c>
      <c r="T72" s="88"/>
      <c r="U72" s="88"/>
      <c r="V72" s="90" t="s">
        <v>32</v>
      </c>
      <c r="W72" s="90">
        <v>1</v>
      </c>
      <c r="X72" s="90" t="s">
        <v>118</v>
      </c>
      <c r="Y72" s="91">
        <v>45901</v>
      </c>
      <c r="Z72" s="91">
        <v>46081</v>
      </c>
      <c r="AA72" s="88"/>
      <c r="AB72" s="88"/>
      <c r="AC72" s="92">
        <v>45909.592361111114</v>
      </c>
    </row>
    <row r="73" spans="1:29" customFormat="1" ht="16" x14ac:dyDescent="0.2">
      <c r="A73" s="90" t="s">
        <v>1</v>
      </c>
      <c r="B73" s="90" t="s">
        <v>1405</v>
      </c>
      <c r="C73" s="90" t="s">
        <v>1406</v>
      </c>
      <c r="D73" s="91">
        <v>29893</v>
      </c>
      <c r="E73" s="90">
        <v>44</v>
      </c>
      <c r="F73" s="90" t="s">
        <v>11</v>
      </c>
      <c r="G73" s="90" t="s">
        <v>10</v>
      </c>
      <c r="H73" s="90" t="s">
        <v>10</v>
      </c>
      <c r="I73" s="91">
        <v>42339</v>
      </c>
      <c r="J73" s="90" t="s">
        <v>301</v>
      </c>
      <c r="K73" s="90" t="s">
        <v>302</v>
      </c>
      <c r="L73" s="90" t="s">
        <v>7</v>
      </c>
      <c r="M73" s="90" t="s">
        <v>6</v>
      </c>
      <c r="N73" s="88"/>
      <c r="O73" s="91">
        <v>45825</v>
      </c>
      <c r="P73" s="91">
        <v>45826</v>
      </c>
      <c r="Q73" s="91">
        <v>45930</v>
      </c>
      <c r="R73" s="91">
        <v>45936</v>
      </c>
      <c r="S73" s="91">
        <v>45958</v>
      </c>
      <c r="T73" s="88"/>
      <c r="U73" s="88"/>
      <c r="V73" s="90" t="s">
        <v>32</v>
      </c>
      <c r="W73" s="90">
        <v>2</v>
      </c>
      <c r="X73" s="90" t="s">
        <v>228</v>
      </c>
      <c r="Y73" s="91">
        <v>45931</v>
      </c>
      <c r="Z73" s="91">
        <v>46112</v>
      </c>
      <c r="AA73" s="88"/>
      <c r="AB73" s="88"/>
      <c r="AC73" s="92">
        <v>45958.38958333333</v>
      </c>
    </row>
    <row r="74" spans="1:29" customFormat="1" ht="16" x14ac:dyDescent="0.2">
      <c r="A74" s="90" t="s">
        <v>0</v>
      </c>
      <c r="B74" s="90" t="s">
        <v>1391</v>
      </c>
      <c r="C74" s="90" t="s">
        <v>1392</v>
      </c>
      <c r="D74" s="91">
        <v>24931</v>
      </c>
      <c r="E74" s="90">
        <v>57</v>
      </c>
      <c r="F74" s="90" t="s">
        <v>11</v>
      </c>
      <c r="G74" s="90" t="s">
        <v>11</v>
      </c>
      <c r="H74" s="90" t="s">
        <v>10</v>
      </c>
      <c r="I74" s="91">
        <v>41456</v>
      </c>
      <c r="J74" s="90" t="s">
        <v>1040</v>
      </c>
      <c r="K74" s="90" t="s">
        <v>1041</v>
      </c>
      <c r="L74" s="90" t="s">
        <v>3</v>
      </c>
      <c r="M74" s="90" t="s">
        <v>396</v>
      </c>
      <c r="N74" s="90" t="s">
        <v>174</v>
      </c>
      <c r="O74" s="91">
        <v>45903</v>
      </c>
      <c r="P74" s="91">
        <v>45904</v>
      </c>
      <c r="Q74" s="91">
        <v>45909</v>
      </c>
      <c r="R74" s="91">
        <v>45924</v>
      </c>
      <c r="S74" s="91">
        <v>45924</v>
      </c>
      <c r="T74" s="88"/>
      <c r="U74" s="88"/>
      <c r="V74" s="90" t="s">
        <v>32</v>
      </c>
      <c r="W74" s="90">
        <v>2</v>
      </c>
      <c r="X74" s="90" t="s">
        <v>228</v>
      </c>
      <c r="Y74" s="91">
        <v>45901</v>
      </c>
      <c r="Z74" s="91">
        <v>46081</v>
      </c>
      <c r="AA74" s="88"/>
      <c r="AB74" s="88"/>
      <c r="AC74" s="92">
        <v>45924.754166666666</v>
      </c>
    </row>
    <row r="75" spans="1:29" customFormat="1" ht="16" x14ac:dyDescent="0.2">
      <c r="A75" s="90" t="s">
        <v>0</v>
      </c>
      <c r="B75" s="90" t="s">
        <v>259</v>
      </c>
      <c r="C75" s="90" t="s">
        <v>605</v>
      </c>
      <c r="D75" s="91">
        <v>25680</v>
      </c>
      <c r="E75" s="90">
        <v>55</v>
      </c>
      <c r="F75" s="90" t="s">
        <v>11</v>
      </c>
      <c r="G75" s="90" t="s">
        <v>10</v>
      </c>
      <c r="H75" s="90" t="s">
        <v>10</v>
      </c>
      <c r="I75" s="91">
        <v>43466</v>
      </c>
      <c r="J75" s="90" t="s">
        <v>161</v>
      </c>
      <c r="K75" s="90" t="s">
        <v>606</v>
      </c>
      <c r="L75" s="90" t="s">
        <v>3</v>
      </c>
      <c r="M75" s="90" t="s">
        <v>6</v>
      </c>
      <c r="N75" s="88"/>
      <c r="O75" s="91">
        <v>45903</v>
      </c>
      <c r="P75" s="88"/>
      <c r="Q75" s="88"/>
      <c r="R75" s="88"/>
      <c r="S75" s="88"/>
      <c r="T75" s="88"/>
      <c r="U75" s="88"/>
      <c r="V75" s="90" t="s">
        <v>227</v>
      </c>
      <c r="W75" s="90">
        <v>0</v>
      </c>
      <c r="X75" s="88"/>
      <c r="Y75" s="88"/>
      <c r="Z75" s="88"/>
      <c r="AA75" s="88"/>
      <c r="AB75" s="88"/>
      <c r="AC75" s="92">
        <v>45910.647916666669</v>
      </c>
    </row>
    <row r="76" spans="1:29" customFormat="1" ht="16" x14ac:dyDescent="0.2">
      <c r="A76" s="90" t="s">
        <v>0</v>
      </c>
      <c r="B76" s="90" t="s">
        <v>1393</v>
      </c>
      <c r="C76" s="90" t="s">
        <v>1394</v>
      </c>
      <c r="D76" s="91">
        <v>26411</v>
      </c>
      <c r="E76" s="90">
        <v>53</v>
      </c>
      <c r="F76" s="90" t="s">
        <v>11</v>
      </c>
      <c r="G76" s="90" t="s">
        <v>10</v>
      </c>
      <c r="H76" s="90" t="s">
        <v>10</v>
      </c>
      <c r="I76" s="91">
        <v>43101</v>
      </c>
      <c r="J76" s="90" t="s">
        <v>1371</v>
      </c>
      <c r="K76" s="90" t="s">
        <v>1372</v>
      </c>
      <c r="L76" s="90" t="s">
        <v>7</v>
      </c>
      <c r="M76" s="90" t="s">
        <v>6</v>
      </c>
      <c r="N76" s="88"/>
      <c r="O76" s="91">
        <v>45898</v>
      </c>
      <c r="P76" s="91">
        <v>45952</v>
      </c>
      <c r="Q76" s="88"/>
      <c r="R76" s="88"/>
      <c r="S76" s="88"/>
      <c r="T76" s="88"/>
      <c r="U76" s="88"/>
      <c r="V76" s="90" t="s">
        <v>32</v>
      </c>
      <c r="W76" s="90">
        <v>0</v>
      </c>
      <c r="X76" s="88"/>
      <c r="Y76" s="88"/>
      <c r="Z76" s="88"/>
      <c r="AA76" s="88"/>
      <c r="AB76" s="88"/>
      <c r="AC76" s="92">
        <v>45952.672222222223</v>
      </c>
    </row>
    <row r="77" spans="1:29" customFormat="1" ht="16" x14ac:dyDescent="0.2">
      <c r="A77" s="90" t="s">
        <v>1</v>
      </c>
      <c r="B77" s="90" t="s">
        <v>1395</v>
      </c>
      <c r="C77" s="90" t="s">
        <v>1396</v>
      </c>
      <c r="D77" s="91">
        <v>35492</v>
      </c>
      <c r="E77" s="90">
        <v>28</v>
      </c>
      <c r="F77" s="90" t="s">
        <v>11</v>
      </c>
      <c r="G77" s="90" t="s">
        <v>10</v>
      </c>
      <c r="H77" s="90" t="s">
        <v>10</v>
      </c>
      <c r="I77" s="91">
        <v>45809</v>
      </c>
      <c r="J77" s="90" t="s">
        <v>301</v>
      </c>
      <c r="K77" s="90" t="s">
        <v>302</v>
      </c>
      <c r="L77" s="90" t="s">
        <v>7</v>
      </c>
      <c r="M77" s="90" t="s">
        <v>6</v>
      </c>
      <c r="N77" s="88"/>
      <c r="O77" s="91">
        <v>45898</v>
      </c>
      <c r="P77" s="91">
        <v>45931</v>
      </c>
      <c r="Q77" s="91">
        <v>45932</v>
      </c>
      <c r="R77" s="91">
        <v>45946</v>
      </c>
      <c r="S77" s="91">
        <v>45946</v>
      </c>
      <c r="T77" s="88"/>
      <c r="U77" s="88"/>
      <c r="V77" s="90" t="s">
        <v>32</v>
      </c>
      <c r="W77" s="90">
        <v>1</v>
      </c>
      <c r="X77" s="90" t="s">
        <v>228</v>
      </c>
      <c r="Y77" s="91">
        <v>45931</v>
      </c>
      <c r="Z77" s="91">
        <v>46112</v>
      </c>
      <c r="AA77" s="88"/>
      <c r="AB77" s="88"/>
      <c r="AC77" s="92">
        <v>45946.645138888889</v>
      </c>
    </row>
    <row r="78" spans="1:29" customFormat="1" ht="16" x14ac:dyDescent="0.2">
      <c r="A78" s="90" t="s">
        <v>0</v>
      </c>
      <c r="B78" s="90" t="s">
        <v>1399</v>
      </c>
      <c r="C78" s="90" t="s">
        <v>1400</v>
      </c>
      <c r="D78" s="91">
        <v>34897</v>
      </c>
      <c r="E78" s="90">
        <v>30</v>
      </c>
      <c r="F78" s="90" t="s">
        <v>10</v>
      </c>
      <c r="G78" s="90" t="s">
        <v>10</v>
      </c>
      <c r="H78" s="90" t="s">
        <v>10</v>
      </c>
      <c r="I78" s="91">
        <v>39965</v>
      </c>
      <c r="J78" s="90" t="s">
        <v>34</v>
      </c>
      <c r="K78" s="90" t="s">
        <v>1401</v>
      </c>
      <c r="L78" s="90" t="s">
        <v>5</v>
      </c>
      <c r="M78" s="90" t="s">
        <v>6</v>
      </c>
      <c r="N78" s="90" t="s">
        <v>119</v>
      </c>
      <c r="O78" s="91">
        <v>45897</v>
      </c>
      <c r="P78" s="91">
        <v>45901</v>
      </c>
      <c r="Q78" s="91">
        <v>45901</v>
      </c>
      <c r="R78" s="91">
        <v>45910</v>
      </c>
      <c r="S78" s="91">
        <v>45910</v>
      </c>
      <c r="T78" s="88"/>
      <c r="U78" s="88"/>
      <c r="V78" s="90" t="s">
        <v>32</v>
      </c>
      <c r="W78" s="90">
        <v>1</v>
      </c>
      <c r="X78" s="90" t="s">
        <v>125</v>
      </c>
      <c r="Y78" s="91">
        <v>45901</v>
      </c>
      <c r="Z78" s="91">
        <v>46081</v>
      </c>
      <c r="AA78" s="88"/>
      <c r="AB78" s="88"/>
      <c r="AC78" s="92">
        <v>45910.667361111111</v>
      </c>
    </row>
    <row r="79" spans="1:29" customFormat="1" ht="16" x14ac:dyDescent="0.2">
      <c r="A79" s="90" t="s">
        <v>1</v>
      </c>
      <c r="B79" s="90" t="s">
        <v>1397</v>
      </c>
      <c r="C79" s="90" t="s">
        <v>1398</v>
      </c>
      <c r="D79" s="91">
        <v>27401</v>
      </c>
      <c r="E79" s="90">
        <v>50</v>
      </c>
      <c r="F79" s="90" t="s">
        <v>10</v>
      </c>
      <c r="G79" s="90" t="s">
        <v>10</v>
      </c>
      <c r="H79" s="90" t="s">
        <v>10</v>
      </c>
      <c r="I79" s="91">
        <v>44348</v>
      </c>
      <c r="J79" s="90" t="s">
        <v>909</v>
      </c>
      <c r="K79" s="90" t="s">
        <v>1062</v>
      </c>
      <c r="L79" s="90" t="s">
        <v>4</v>
      </c>
      <c r="M79" s="90" t="s">
        <v>396</v>
      </c>
      <c r="N79" s="88"/>
      <c r="O79" s="91">
        <v>45897</v>
      </c>
      <c r="P79" s="91">
        <v>45916</v>
      </c>
      <c r="Q79" s="91">
        <v>45929</v>
      </c>
      <c r="R79" s="91">
        <v>45960</v>
      </c>
      <c r="S79" s="88"/>
      <c r="T79" s="88"/>
      <c r="U79" s="88"/>
      <c r="V79" s="90" t="s">
        <v>32</v>
      </c>
      <c r="W79" s="90">
        <v>1</v>
      </c>
      <c r="X79" s="90" t="s">
        <v>228</v>
      </c>
      <c r="Y79" s="88"/>
      <c r="Z79" s="88"/>
      <c r="AA79" s="88"/>
      <c r="AB79" s="88"/>
      <c r="AC79" s="92">
        <v>45916.480555555558</v>
      </c>
    </row>
    <row r="80" spans="1:29" customFormat="1" ht="16" x14ac:dyDescent="0.2">
      <c r="A80" s="90" t="s">
        <v>1</v>
      </c>
      <c r="B80" s="90" t="s">
        <v>1311</v>
      </c>
      <c r="C80" s="90" t="s">
        <v>1355</v>
      </c>
      <c r="D80" s="91">
        <v>25775</v>
      </c>
      <c r="E80" s="90">
        <v>55</v>
      </c>
      <c r="F80" s="90" t="s">
        <v>11</v>
      </c>
      <c r="G80" s="90" t="s">
        <v>10</v>
      </c>
      <c r="H80" s="90" t="s">
        <v>10</v>
      </c>
      <c r="I80" s="91">
        <v>41456</v>
      </c>
      <c r="J80" s="90" t="s">
        <v>491</v>
      </c>
      <c r="K80" s="90" t="s">
        <v>430</v>
      </c>
      <c r="L80" s="90" t="s">
        <v>7</v>
      </c>
      <c r="M80" s="90" t="s">
        <v>396</v>
      </c>
      <c r="N80" s="88"/>
      <c r="O80" s="91">
        <v>45891</v>
      </c>
      <c r="P80" s="91">
        <v>45903</v>
      </c>
      <c r="Q80" s="91">
        <v>45958</v>
      </c>
      <c r="R80" s="91">
        <v>45964</v>
      </c>
      <c r="S80" s="88"/>
      <c r="T80" s="88"/>
      <c r="U80" s="88"/>
      <c r="V80" s="90" t="s">
        <v>32</v>
      </c>
      <c r="W80" s="90">
        <v>1</v>
      </c>
      <c r="X80" s="90" t="s">
        <v>228</v>
      </c>
      <c r="Y80" s="88"/>
      <c r="Z80" s="88"/>
      <c r="AA80" s="88"/>
      <c r="AB80" s="88"/>
      <c r="AC80" s="92">
        <v>45903.586111111108</v>
      </c>
    </row>
    <row r="81" spans="1:29" customFormat="1" ht="16" x14ac:dyDescent="0.2">
      <c r="A81" s="90" t="s">
        <v>1</v>
      </c>
      <c r="B81" s="90" t="s">
        <v>1356</v>
      </c>
      <c r="C81" s="90" t="s">
        <v>1357</v>
      </c>
      <c r="D81" s="91">
        <v>33180</v>
      </c>
      <c r="E81" s="90">
        <v>35</v>
      </c>
      <c r="F81" s="90" t="s">
        <v>11</v>
      </c>
      <c r="G81" s="90" t="s">
        <v>10</v>
      </c>
      <c r="H81" s="90" t="s">
        <v>10</v>
      </c>
      <c r="I81" s="91">
        <v>44166</v>
      </c>
      <c r="J81" s="90" t="s">
        <v>246</v>
      </c>
      <c r="K81" s="90" t="s">
        <v>513</v>
      </c>
      <c r="L81" s="90" t="s">
        <v>3</v>
      </c>
      <c r="M81" s="90" t="s">
        <v>6</v>
      </c>
      <c r="N81" s="88"/>
      <c r="O81" s="91">
        <v>45891</v>
      </c>
      <c r="P81" s="91">
        <v>45904</v>
      </c>
      <c r="Q81" s="91">
        <v>45908</v>
      </c>
      <c r="R81" s="88"/>
      <c r="S81" s="88"/>
      <c r="T81" s="91">
        <v>45946</v>
      </c>
      <c r="U81" s="88"/>
      <c r="V81" s="90" t="s">
        <v>224</v>
      </c>
      <c r="W81" s="90">
        <v>0</v>
      </c>
      <c r="X81" s="88"/>
      <c r="Y81" s="88"/>
      <c r="Z81" s="88"/>
      <c r="AA81" s="88"/>
      <c r="AB81" s="88"/>
      <c r="AC81" s="92">
        <v>45946.701388888891</v>
      </c>
    </row>
    <row r="82" spans="1:29" customFormat="1" ht="16" x14ac:dyDescent="0.2">
      <c r="A82" s="90" t="s">
        <v>1</v>
      </c>
      <c r="B82" s="90" t="s">
        <v>679</v>
      </c>
      <c r="C82" s="90" t="s">
        <v>1358</v>
      </c>
      <c r="D82" s="91">
        <v>33717</v>
      </c>
      <c r="E82" s="90">
        <v>33</v>
      </c>
      <c r="F82" s="90" t="s">
        <v>10</v>
      </c>
      <c r="G82" s="90" t="s">
        <v>10</v>
      </c>
      <c r="H82" s="90" t="s">
        <v>10</v>
      </c>
      <c r="I82" s="91">
        <v>43160</v>
      </c>
      <c r="J82" s="90" t="s">
        <v>304</v>
      </c>
      <c r="K82" s="90" t="s">
        <v>689</v>
      </c>
      <c r="L82" s="90" t="s">
        <v>7</v>
      </c>
      <c r="M82" s="90" t="s">
        <v>6</v>
      </c>
      <c r="N82" s="88"/>
      <c r="O82" s="91">
        <v>45890</v>
      </c>
      <c r="P82" s="91">
        <v>45958</v>
      </c>
      <c r="Q82" s="91">
        <v>45958</v>
      </c>
      <c r="R82" s="91">
        <v>45961</v>
      </c>
      <c r="S82" s="88"/>
      <c r="T82" s="88"/>
      <c r="U82" s="88"/>
      <c r="V82" s="90" t="s">
        <v>32</v>
      </c>
      <c r="W82" s="90">
        <v>1</v>
      </c>
      <c r="X82" s="90" t="s">
        <v>228</v>
      </c>
      <c r="Y82" s="88"/>
      <c r="Z82" s="88"/>
      <c r="AA82" s="88"/>
      <c r="AB82" s="88"/>
      <c r="AC82" s="92">
        <v>45958.418055555558</v>
      </c>
    </row>
    <row r="83" spans="1:29" customFormat="1" ht="16" x14ac:dyDescent="0.2">
      <c r="A83" s="90" t="s">
        <v>1</v>
      </c>
      <c r="B83" s="90" t="s">
        <v>1359</v>
      </c>
      <c r="C83" s="90" t="s">
        <v>1360</v>
      </c>
      <c r="D83" s="91">
        <v>34269</v>
      </c>
      <c r="E83" s="90">
        <v>32</v>
      </c>
      <c r="F83" s="90" t="s">
        <v>11</v>
      </c>
      <c r="G83" s="90" t="s">
        <v>10</v>
      </c>
      <c r="H83" s="90" t="s">
        <v>10</v>
      </c>
      <c r="I83" s="91">
        <v>45627</v>
      </c>
      <c r="J83" s="90" t="s">
        <v>161</v>
      </c>
      <c r="K83" s="90" t="s">
        <v>208</v>
      </c>
      <c r="L83" s="90" t="s">
        <v>7</v>
      </c>
      <c r="M83" s="90" t="s">
        <v>6</v>
      </c>
      <c r="N83" s="88"/>
      <c r="O83" s="91">
        <v>45890</v>
      </c>
      <c r="P83" s="91">
        <v>45905</v>
      </c>
      <c r="Q83" s="88"/>
      <c r="R83" s="88"/>
      <c r="S83" s="88"/>
      <c r="T83" s="91">
        <v>45944</v>
      </c>
      <c r="U83" s="88"/>
      <c r="V83" s="90" t="s">
        <v>224</v>
      </c>
      <c r="W83" s="90">
        <v>0</v>
      </c>
      <c r="X83" s="88"/>
      <c r="Y83" s="88"/>
      <c r="Z83" s="88"/>
      <c r="AA83" s="88"/>
      <c r="AB83" s="88"/>
      <c r="AC83" s="92">
        <v>45944.363194444442</v>
      </c>
    </row>
    <row r="84" spans="1:29" customFormat="1" ht="16" x14ac:dyDescent="0.2">
      <c r="A84" s="90" t="s">
        <v>0</v>
      </c>
      <c r="B84" s="90" t="s">
        <v>1340</v>
      </c>
      <c r="C84" s="90" t="s">
        <v>1341</v>
      </c>
      <c r="D84" s="91">
        <v>36909</v>
      </c>
      <c r="E84" s="90">
        <v>24</v>
      </c>
      <c r="F84" s="88"/>
      <c r="G84" s="90" t="s">
        <v>10</v>
      </c>
      <c r="H84" s="88"/>
      <c r="I84" s="88"/>
      <c r="J84" s="90" t="s">
        <v>1342</v>
      </c>
      <c r="K84" s="90" t="s">
        <v>1343</v>
      </c>
      <c r="L84" s="90" t="s">
        <v>5</v>
      </c>
      <c r="M84" s="90" t="s">
        <v>9</v>
      </c>
      <c r="N84" s="90" t="s">
        <v>119</v>
      </c>
      <c r="O84" s="91">
        <v>45889</v>
      </c>
      <c r="P84" s="91">
        <v>45910</v>
      </c>
      <c r="Q84" s="91">
        <v>45938</v>
      </c>
      <c r="R84" s="91">
        <v>45966</v>
      </c>
      <c r="S84" s="91">
        <v>45938</v>
      </c>
      <c r="T84" s="88"/>
      <c r="U84" s="90" t="s">
        <v>407</v>
      </c>
      <c r="V84" s="90" t="s">
        <v>32</v>
      </c>
      <c r="W84" s="90">
        <v>1</v>
      </c>
      <c r="X84" s="90" t="s">
        <v>125</v>
      </c>
      <c r="Y84" s="91">
        <v>45931</v>
      </c>
      <c r="Z84" s="91">
        <v>46112</v>
      </c>
      <c r="AA84" s="88"/>
      <c r="AB84" s="88"/>
      <c r="AC84" s="92">
        <v>45938.644444444442</v>
      </c>
    </row>
    <row r="85" spans="1:29" customFormat="1" ht="16" x14ac:dyDescent="0.2">
      <c r="A85" s="90" t="s">
        <v>0</v>
      </c>
      <c r="B85" s="90" t="s">
        <v>1403</v>
      </c>
      <c r="C85" s="90" t="s">
        <v>1404</v>
      </c>
      <c r="D85" s="91">
        <v>35008</v>
      </c>
      <c r="E85" s="90">
        <v>30</v>
      </c>
      <c r="F85" s="90" t="s">
        <v>11</v>
      </c>
      <c r="G85" s="88"/>
      <c r="H85" s="90" t="s">
        <v>10</v>
      </c>
      <c r="I85" s="91">
        <v>45292</v>
      </c>
      <c r="J85" s="90" t="s">
        <v>598</v>
      </c>
      <c r="K85" s="90" t="s">
        <v>599</v>
      </c>
      <c r="L85" s="90" t="s">
        <v>7</v>
      </c>
      <c r="M85" s="90" t="s">
        <v>396</v>
      </c>
      <c r="N85" s="88"/>
      <c r="O85" s="91">
        <v>45888</v>
      </c>
      <c r="P85" s="91">
        <v>45905</v>
      </c>
      <c r="Q85" s="91">
        <v>45909</v>
      </c>
      <c r="R85" s="91">
        <v>45943</v>
      </c>
      <c r="S85" s="91">
        <v>45957</v>
      </c>
      <c r="T85" s="88"/>
      <c r="U85" s="88"/>
      <c r="V85" s="90" t="s">
        <v>32</v>
      </c>
      <c r="W85" s="90">
        <v>1</v>
      </c>
      <c r="X85" s="90" t="s">
        <v>228</v>
      </c>
      <c r="Y85" s="91">
        <v>45931</v>
      </c>
      <c r="Z85" s="91">
        <v>46112</v>
      </c>
      <c r="AA85" s="88"/>
      <c r="AB85" s="88"/>
      <c r="AC85" s="92">
        <v>45957.390972222223</v>
      </c>
    </row>
    <row r="86" spans="1:29" customFormat="1" ht="16" x14ac:dyDescent="0.2">
      <c r="A86" s="90" t="s">
        <v>0</v>
      </c>
      <c r="B86" s="90" t="s">
        <v>1344</v>
      </c>
      <c r="C86" s="90" t="s">
        <v>1345</v>
      </c>
      <c r="D86" s="91">
        <v>22965</v>
      </c>
      <c r="E86" s="90">
        <v>63</v>
      </c>
      <c r="F86" s="90" t="s">
        <v>10</v>
      </c>
      <c r="G86" s="90" t="s">
        <v>11</v>
      </c>
      <c r="H86" s="90" t="s">
        <v>10</v>
      </c>
      <c r="I86" s="91">
        <v>42370</v>
      </c>
      <c r="J86" s="90" t="s">
        <v>192</v>
      </c>
      <c r="K86" s="90" t="s">
        <v>193</v>
      </c>
      <c r="L86" s="90" t="s">
        <v>3</v>
      </c>
      <c r="M86" s="90" t="s">
        <v>6</v>
      </c>
      <c r="N86" s="88"/>
      <c r="O86" s="91">
        <v>45888</v>
      </c>
      <c r="P86" s="88"/>
      <c r="Q86" s="88"/>
      <c r="R86" s="88"/>
      <c r="S86" s="88"/>
      <c r="T86" s="88"/>
      <c r="U86" s="88"/>
      <c r="V86" s="90" t="s">
        <v>227</v>
      </c>
      <c r="W86" s="90">
        <v>0</v>
      </c>
      <c r="X86" s="88"/>
      <c r="Y86" s="88"/>
      <c r="Z86" s="88"/>
      <c r="AA86" s="88"/>
      <c r="AB86" s="88"/>
      <c r="AC86" s="92">
        <v>45889.364583333336</v>
      </c>
    </row>
    <row r="87" spans="1:29" customFormat="1" ht="16" x14ac:dyDescent="0.2">
      <c r="A87" s="90" t="s">
        <v>1</v>
      </c>
      <c r="B87" s="90" t="s">
        <v>1346</v>
      </c>
      <c r="C87" s="90" t="s">
        <v>1347</v>
      </c>
      <c r="D87" s="91">
        <v>33737</v>
      </c>
      <c r="E87" s="90">
        <v>33</v>
      </c>
      <c r="F87" s="90" t="s">
        <v>11</v>
      </c>
      <c r="G87" s="90" t="s">
        <v>10</v>
      </c>
      <c r="H87" s="90" t="s">
        <v>10</v>
      </c>
      <c r="I87" s="91">
        <v>45809</v>
      </c>
      <c r="J87" s="90" t="s">
        <v>257</v>
      </c>
      <c r="K87" s="90" t="s">
        <v>496</v>
      </c>
      <c r="L87" s="90" t="s">
        <v>3</v>
      </c>
      <c r="M87" s="90" t="s">
        <v>6</v>
      </c>
      <c r="N87" s="90" t="s">
        <v>120</v>
      </c>
      <c r="O87" s="91">
        <v>45887</v>
      </c>
      <c r="P87" s="91">
        <v>45888</v>
      </c>
      <c r="Q87" s="91">
        <v>45888</v>
      </c>
      <c r="R87" s="91">
        <v>45895</v>
      </c>
      <c r="S87" s="91">
        <v>45895</v>
      </c>
      <c r="T87" s="88"/>
      <c r="U87" s="88"/>
      <c r="V87" s="90" t="s">
        <v>32</v>
      </c>
      <c r="W87" s="90">
        <v>1</v>
      </c>
      <c r="X87" s="90" t="s">
        <v>118</v>
      </c>
      <c r="Y87" s="91">
        <v>45870</v>
      </c>
      <c r="Z87" s="91">
        <v>46053</v>
      </c>
      <c r="AA87" s="88"/>
      <c r="AB87" s="88"/>
      <c r="AC87" s="92">
        <v>45915.602083333331</v>
      </c>
    </row>
    <row r="88" spans="1:29" customFormat="1" ht="16" x14ac:dyDescent="0.2">
      <c r="A88" s="90" t="s">
        <v>0</v>
      </c>
      <c r="B88" s="90" t="s">
        <v>584</v>
      </c>
      <c r="C88" s="90" t="s">
        <v>1348</v>
      </c>
      <c r="D88" s="91">
        <v>28595</v>
      </c>
      <c r="E88" s="90">
        <v>47</v>
      </c>
      <c r="F88" s="90" t="s">
        <v>11</v>
      </c>
      <c r="G88" s="90" t="s">
        <v>10</v>
      </c>
      <c r="H88" s="90" t="s">
        <v>10</v>
      </c>
      <c r="I88" s="91">
        <v>44013</v>
      </c>
      <c r="J88" s="90" t="s">
        <v>179</v>
      </c>
      <c r="K88" s="90" t="s">
        <v>675</v>
      </c>
      <c r="L88" s="90" t="s">
        <v>4</v>
      </c>
      <c r="M88" s="90" t="s">
        <v>6</v>
      </c>
      <c r="N88" s="88"/>
      <c r="O88" s="91">
        <v>45883</v>
      </c>
      <c r="P88" s="88"/>
      <c r="Q88" s="88"/>
      <c r="R88" s="88"/>
      <c r="S88" s="88"/>
      <c r="T88" s="88"/>
      <c r="U88" s="88"/>
      <c r="V88" s="90" t="s">
        <v>227</v>
      </c>
      <c r="W88" s="90">
        <v>0</v>
      </c>
      <c r="X88" s="88"/>
      <c r="Y88" s="88"/>
      <c r="Z88" s="88"/>
      <c r="AA88" s="88"/>
      <c r="AB88" s="88"/>
      <c r="AC88" s="92">
        <v>45911.472916666666</v>
      </c>
    </row>
    <row r="89" spans="1:29" customFormat="1" ht="16" x14ac:dyDescent="0.2">
      <c r="A89" s="90" t="s">
        <v>0</v>
      </c>
      <c r="B89" s="90" t="s">
        <v>109</v>
      </c>
      <c r="C89" s="90" t="s">
        <v>1349</v>
      </c>
      <c r="D89" s="91">
        <v>26047</v>
      </c>
      <c r="E89" s="90">
        <v>54</v>
      </c>
      <c r="F89" s="90" t="s">
        <v>11</v>
      </c>
      <c r="G89" s="90" t="s">
        <v>11</v>
      </c>
      <c r="H89" s="90" t="s">
        <v>10</v>
      </c>
      <c r="I89" s="91">
        <v>43773</v>
      </c>
      <c r="J89" s="90" t="s">
        <v>1350</v>
      </c>
      <c r="K89" s="90" t="s">
        <v>1351</v>
      </c>
      <c r="L89" s="90" t="s">
        <v>5</v>
      </c>
      <c r="M89" s="90" t="s">
        <v>6</v>
      </c>
      <c r="N89" s="90" t="s">
        <v>120</v>
      </c>
      <c r="O89" s="91">
        <v>45881</v>
      </c>
      <c r="P89" s="91">
        <v>45904</v>
      </c>
      <c r="Q89" s="91">
        <v>45909</v>
      </c>
      <c r="R89" s="91">
        <v>45917</v>
      </c>
      <c r="S89" s="91">
        <v>45916</v>
      </c>
      <c r="T89" s="88"/>
      <c r="U89" s="88"/>
      <c r="V89" s="90" t="s">
        <v>32</v>
      </c>
      <c r="W89" s="90">
        <v>2</v>
      </c>
      <c r="X89" s="90" t="s">
        <v>228</v>
      </c>
      <c r="Y89" s="91">
        <v>45901</v>
      </c>
      <c r="Z89" s="91">
        <v>46081</v>
      </c>
      <c r="AA89" s="88"/>
      <c r="AB89" s="88"/>
      <c r="AC89" s="92">
        <v>45916.588194444441</v>
      </c>
    </row>
    <row r="90" spans="1:29" customFormat="1" ht="16" x14ac:dyDescent="0.2">
      <c r="A90" s="90" t="s">
        <v>0</v>
      </c>
      <c r="B90" s="90" t="s">
        <v>1352</v>
      </c>
      <c r="C90" s="90" t="s">
        <v>1353</v>
      </c>
      <c r="D90" s="91">
        <v>38103</v>
      </c>
      <c r="E90" s="90">
        <v>21</v>
      </c>
      <c r="F90" s="90" t="s">
        <v>11</v>
      </c>
      <c r="G90" s="90" t="s">
        <v>11</v>
      </c>
      <c r="H90" s="90" t="s">
        <v>11</v>
      </c>
      <c r="I90" s="91">
        <v>45870</v>
      </c>
      <c r="J90" s="90" t="s">
        <v>539</v>
      </c>
      <c r="K90" s="90" t="s">
        <v>391</v>
      </c>
      <c r="L90" s="90" t="s">
        <v>7</v>
      </c>
      <c r="M90" s="90" t="s">
        <v>9</v>
      </c>
      <c r="N90" s="88"/>
      <c r="O90" s="91">
        <v>45877</v>
      </c>
      <c r="P90" s="91">
        <v>45931</v>
      </c>
      <c r="Q90" s="91">
        <v>45937</v>
      </c>
      <c r="R90" s="88"/>
      <c r="S90" s="88"/>
      <c r="T90" s="91">
        <v>45952</v>
      </c>
      <c r="U90" s="90" t="s">
        <v>92</v>
      </c>
      <c r="V90" s="90" t="s">
        <v>224</v>
      </c>
      <c r="W90" s="90">
        <v>0</v>
      </c>
      <c r="X90" s="88"/>
      <c r="Y90" s="88"/>
      <c r="Z90" s="88"/>
      <c r="AA90" s="88"/>
      <c r="AB90" s="88"/>
      <c r="AC90" s="92">
        <v>45952.458333333336</v>
      </c>
    </row>
    <row r="91" spans="1:29" customFormat="1" ht="16" x14ac:dyDescent="0.2">
      <c r="A91" s="90" t="s">
        <v>1</v>
      </c>
      <c r="B91" s="90" t="s">
        <v>1012</v>
      </c>
      <c r="C91" s="90" t="s">
        <v>1066</v>
      </c>
      <c r="D91" s="91">
        <v>26955</v>
      </c>
      <c r="E91" s="90">
        <v>52</v>
      </c>
      <c r="F91" s="90" t="s">
        <v>11</v>
      </c>
      <c r="G91" s="90" t="s">
        <v>10</v>
      </c>
      <c r="H91" s="90" t="s">
        <v>10</v>
      </c>
      <c r="I91" s="91">
        <v>45566</v>
      </c>
      <c r="J91" s="90" t="s">
        <v>1241</v>
      </c>
      <c r="K91" s="90" t="s">
        <v>296</v>
      </c>
      <c r="L91" s="90" t="s">
        <v>3</v>
      </c>
      <c r="M91" s="90" t="s">
        <v>6</v>
      </c>
      <c r="N91" s="90" t="s">
        <v>117</v>
      </c>
      <c r="O91" s="91">
        <v>45877</v>
      </c>
      <c r="P91" s="91">
        <v>45882</v>
      </c>
      <c r="Q91" s="91">
        <v>45887</v>
      </c>
      <c r="R91" s="91">
        <v>45897</v>
      </c>
      <c r="S91" s="91">
        <v>45902</v>
      </c>
      <c r="T91" s="88"/>
      <c r="U91" s="88"/>
      <c r="V91" s="90" t="s">
        <v>32</v>
      </c>
      <c r="W91" s="90">
        <v>1</v>
      </c>
      <c r="X91" s="90" t="s">
        <v>118</v>
      </c>
      <c r="Y91" s="91">
        <v>45901</v>
      </c>
      <c r="Z91" s="91">
        <v>46081</v>
      </c>
      <c r="AA91" s="88"/>
      <c r="AB91" s="88"/>
      <c r="AC91" s="92">
        <v>45902.438888888886</v>
      </c>
    </row>
    <row r="92" spans="1:29" customFormat="1" ht="16" x14ac:dyDescent="0.2">
      <c r="A92" s="90" t="s">
        <v>0</v>
      </c>
      <c r="B92" s="90" t="s">
        <v>1337</v>
      </c>
      <c r="C92" s="90" t="s">
        <v>1338</v>
      </c>
      <c r="D92" s="91">
        <v>32195</v>
      </c>
      <c r="E92" s="90">
        <v>37</v>
      </c>
      <c r="F92" s="88"/>
      <c r="G92" s="88"/>
      <c r="H92" s="90" t="s">
        <v>10</v>
      </c>
      <c r="I92" s="91">
        <v>45597</v>
      </c>
      <c r="J92" s="90" t="s">
        <v>883</v>
      </c>
      <c r="K92" s="90" t="s">
        <v>884</v>
      </c>
      <c r="L92" s="90" t="s">
        <v>7</v>
      </c>
      <c r="M92" s="90" t="s">
        <v>885</v>
      </c>
      <c r="N92" s="90" t="s">
        <v>176</v>
      </c>
      <c r="O92" s="91">
        <v>45876</v>
      </c>
      <c r="P92" s="91">
        <v>45905</v>
      </c>
      <c r="Q92" s="91">
        <v>45908</v>
      </c>
      <c r="R92" s="91">
        <v>45917</v>
      </c>
      <c r="S92" s="91">
        <v>45950</v>
      </c>
      <c r="T92" s="88"/>
      <c r="U92" s="88"/>
      <c r="V92" s="90" t="s">
        <v>32</v>
      </c>
      <c r="W92" s="90">
        <v>3</v>
      </c>
      <c r="X92" s="90" t="s">
        <v>228</v>
      </c>
      <c r="Y92" s="91">
        <v>45931</v>
      </c>
      <c r="Z92" s="91">
        <v>46112</v>
      </c>
      <c r="AA92" s="88"/>
      <c r="AB92" s="88"/>
      <c r="AC92" s="92">
        <v>45950.482638888891</v>
      </c>
    </row>
    <row r="93" spans="1:29" customFormat="1" ht="16" x14ac:dyDescent="0.2">
      <c r="A93" s="90" t="s">
        <v>0</v>
      </c>
      <c r="B93" s="90" t="s">
        <v>1191</v>
      </c>
      <c r="C93" s="90" t="s">
        <v>1339</v>
      </c>
      <c r="D93" s="91">
        <v>26498</v>
      </c>
      <c r="E93" s="90">
        <v>53</v>
      </c>
      <c r="F93" s="90" t="s">
        <v>11</v>
      </c>
      <c r="G93" s="90" t="s">
        <v>11</v>
      </c>
      <c r="H93" s="90" t="s">
        <v>10</v>
      </c>
      <c r="I93" s="91">
        <v>39965</v>
      </c>
      <c r="J93" s="90" t="s">
        <v>188</v>
      </c>
      <c r="K93" s="90" t="s">
        <v>189</v>
      </c>
      <c r="L93" s="90" t="s">
        <v>5</v>
      </c>
      <c r="M93" s="90" t="s">
        <v>6</v>
      </c>
      <c r="N93" s="90" t="s">
        <v>119</v>
      </c>
      <c r="O93" s="91">
        <v>45876</v>
      </c>
      <c r="P93" s="91">
        <v>45876</v>
      </c>
      <c r="Q93" s="91">
        <v>45890</v>
      </c>
      <c r="R93" s="91">
        <v>45896</v>
      </c>
      <c r="S93" s="91">
        <v>45896</v>
      </c>
      <c r="T93" s="88"/>
      <c r="U93" s="88"/>
      <c r="V93" s="90" t="s">
        <v>32</v>
      </c>
      <c r="W93" s="90">
        <v>1</v>
      </c>
      <c r="X93" s="90" t="s">
        <v>125</v>
      </c>
      <c r="Y93" s="91">
        <v>45870</v>
      </c>
      <c r="Z93" s="91">
        <v>46053</v>
      </c>
      <c r="AA93" s="88"/>
      <c r="AB93" s="88"/>
      <c r="AC93" s="92">
        <v>45941.432638888888</v>
      </c>
    </row>
    <row r="94" spans="1:29" customFormat="1" ht="16" x14ac:dyDescent="0.2">
      <c r="A94" s="90" t="s">
        <v>1</v>
      </c>
      <c r="B94" s="90" t="s">
        <v>1316</v>
      </c>
      <c r="C94" s="90" t="s">
        <v>1317</v>
      </c>
      <c r="D94" s="91">
        <v>30055</v>
      </c>
      <c r="E94" s="90">
        <v>43</v>
      </c>
      <c r="F94" s="90" t="s">
        <v>11</v>
      </c>
      <c r="G94" s="90" t="s">
        <v>11</v>
      </c>
      <c r="H94" s="90" t="s">
        <v>10</v>
      </c>
      <c r="I94" s="91">
        <v>45627</v>
      </c>
      <c r="J94" s="90" t="s">
        <v>114</v>
      </c>
      <c r="K94" s="90" t="s">
        <v>245</v>
      </c>
      <c r="L94" s="90" t="s">
        <v>3</v>
      </c>
      <c r="M94" s="90" t="s">
        <v>6</v>
      </c>
      <c r="N94" s="88"/>
      <c r="O94" s="91">
        <v>45874</v>
      </c>
      <c r="P94" s="88"/>
      <c r="Q94" s="88"/>
      <c r="R94" s="88"/>
      <c r="S94" s="88"/>
      <c r="T94" s="88"/>
      <c r="U94" s="88"/>
      <c r="V94" s="90" t="s">
        <v>227</v>
      </c>
      <c r="W94" s="90">
        <v>0</v>
      </c>
      <c r="X94" s="88"/>
      <c r="Y94" s="88"/>
      <c r="Z94" s="88"/>
      <c r="AA94" s="88"/>
      <c r="AB94" s="88"/>
      <c r="AC94" s="92">
        <v>45888.376388888886</v>
      </c>
    </row>
    <row r="95" spans="1:29" customFormat="1" ht="16" x14ac:dyDescent="0.2">
      <c r="A95" s="90" t="s">
        <v>0</v>
      </c>
      <c r="B95" s="90" t="s">
        <v>514</v>
      </c>
      <c r="C95" s="90" t="s">
        <v>1318</v>
      </c>
      <c r="D95" s="91">
        <v>32180</v>
      </c>
      <c r="E95" s="90">
        <v>37</v>
      </c>
      <c r="F95" s="90" t="s">
        <v>11</v>
      </c>
      <c r="G95" s="90" t="s">
        <v>10</v>
      </c>
      <c r="H95" s="90" t="s">
        <v>10</v>
      </c>
      <c r="I95" s="91">
        <v>44044</v>
      </c>
      <c r="J95" s="90" t="s">
        <v>275</v>
      </c>
      <c r="K95" s="90" t="s">
        <v>308</v>
      </c>
      <c r="L95" s="90" t="s">
        <v>5</v>
      </c>
      <c r="M95" s="90" t="s">
        <v>6</v>
      </c>
      <c r="N95" s="90" t="s">
        <v>225</v>
      </c>
      <c r="O95" s="91">
        <v>45874</v>
      </c>
      <c r="P95" s="91">
        <v>45875</v>
      </c>
      <c r="Q95" s="91">
        <v>45910</v>
      </c>
      <c r="R95" s="91">
        <v>45938</v>
      </c>
      <c r="S95" s="91">
        <v>45910</v>
      </c>
      <c r="T95" s="91">
        <v>45940</v>
      </c>
      <c r="U95" s="90" t="s">
        <v>712</v>
      </c>
      <c r="V95" s="90" t="s">
        <v>224</v>
      </c>
      <c r="W95" s="90">
        <v>2</v>
      </c>
      <c r="X95" s="90" t="s">
        <v>125</v>
      </c>
      <c r="Y95" s="88"/>
      <c r="Z95" s="88"/>
      <c r="AA95" s="88"/>
      <c r="AB95" s="88"/>
      <c r="AC95" s="92">
        <v>45940.578472222223</v>
      </c>
    </row>
    <row r="96" spans="1:29" customFormat="1" ht="16" x14ac:dyDescent="0.2">
      <c r="A96" s="90" t="s">
        <v>1</v>
      </c>
      <c r="B96" s="90" t="s">
        <v>1319</v>
      </c>
      <c r="C96" s="90" t="s">
        <v>1320</v>
      </c>
      <c r="D96" s="91">
        <v>22405</v>
      </c>
      <c r="E96" s="90">
        <v>64</v>
      </c>
      <c r="F96" s="90" t="s">
        <v>10</v>
      </c>
      <c r="G96" s="90" t="s">
        <v>10</v>
      </c>
      <c r="H96" s="90" t="s">
        <v>10</v>
      </c>
      <c r="I96" s="91">
        <v>44986</v>
      </c>
      <c r="J96" s="90" t="s">
        <v>909</v>
      </c>
      <c r="K96" s="90" t="s">
        <v>447</v>
      </c>
      <c r="L96" s="90" t="s">
        <v>3</v>
      </c>
      <c r="M96" s="90" t="s">
        <v>396</v>
      </c>
      <c r="N96" s="90" t="s">
        <v>124</v>
      </c>
      <c r="O96" s="91">
        <v>45874</v>
      </c>
      <c r="P96" s="91">
        <v>45882</v>
      </c>
      <c r="Q96" s="91">
        <v>45901</v>
      </c>
      <c r="R96" s="91">
        <v>45902</v>
      </c>
      <c r="S96" s="91">
        <v>45902</v>
      </c>
      <c r="T96" s="88"/>
      <c r="U96" s="88"/>
      <c r="V96" s="90" t="s">
        <v>32</v>
      </c>
      <c r="W96" s="90">
        <v>1</v>
      </c>
      <c r="X96" s="90" t="s">
        <v>118</v>
      </c>
      <c r="Y96" s="91">
        <v>45901</v>
      </c>
      <c r="Z96" s="91">
        <v>46081</v>
      </c>
      <c r="AA96" s="88"/>
      <c r="AB96" s="88"/>
      <c r="AC96" s="92">
        <v>45902.48333333333</v>
      </c>
    </row>
    <row r="97" spans="1:29" customFormat="1" ht="16" x14ac:dyDescent="0.2">
      <c r="A97" s="90" t="s">
        <v>0</v>
      </c>
      <c r="B97" s="90" t="s">
        <v>558</v>
      </c>
      <c r="C97" s="90" t="s">
        <v>1321</v>
      </c>
      <c r="D97" s="91">
        <v>33756</v>
      </c>
      <c r="E97" s="90">
        <v>33</v>
      </c>
      <c r="F97" s="90" t="s">
        <v>11</v>
      </c>
      <c r="G97" s="90" t="s">
        <v>10</v>
      </c>
      <c r="H97" s="90" t="s">
        <v>10</v>
      </c>
      <c r="I97" s="91">
        <v>45566</v>
      </c>
      <c r="J97" s="90" t="s">
        <v>34</v>
      </c>
      <c r="K97" s="90" t="s">
        <v>1322</v>
      </c>
      <c r="L97" s="90" t="s">
        <v>3</v>
      </c>
      <c r="M97" s="90" t="s">
        <v>6</v>
      </c>
      <c r="N97" s="90" t="s">
        <v>119</v>
      </c>
      <c r="O97" s="91">
        <v>45874</v>
      </c>
      <c r="P97" s="91">
        <v>45882</v>
      </c>
      <c r="Q97" s="91">
        <v>45887</v>
      </c>
      <c r="R97" s="91">
        <v>45895</v>
      </c>
      <c r="S97" s="91">
        <v>45895</v>
      </c>
      <c r="T97" s="88"/>
      <c r="U97" s="88"/>
      <c r="V97" s="90" t="s">
        <v>32</v>
      </c>
      <c r="W97" s="90">
        <v>1</v>
      </c>
      <c r="X97" s="90" t="s">
        <v>118</v>
      </c>
      <c r="Y97" s="91">
        <v>45870</v>
      </c>
      <c r="Z97" s="91">
        <v>46053</v>
      </c>
      <c r="AA97" s="88"/>
      <c r="AB97" s="88"/>
      <c r="AC97" s="92">
        <v>45895.611111111109</v>
      </c>
    </row>
    <row r="98" spans="1:29" customFormat="1" ht="16" x14ac:dyDescent="0.2">
      <c r="A98" s="90" t="s">
        <v>0</v>
      </c>
      <c r="B98" s="90" t="s">
        <v>584</v>
      </c>
      <c r="C98" s="90" t="s">
        <v>1323</v>
      </c>
      <c r="D98" s="91">
        <v>30281</v>
      </c>
      <c r="E98" s="90">
        <v>43</v>
      </c>
      <c r="F98" s="90" t="s">
        <v>11</v>
      </c>
      <c r="G98" s="90" t="s">
        <v>10</v>
      </c>
      <c r="H98" s="90" t="s">
        <v>10</v>
      </c>
      <c r="I98" s="91">
        <v>45293</v>
      </c>
      <c r="J98" s="90" t="s">
        <v>909</v>
      </c>
      <c r="K98" s="90" t="s">
        <v>1062</v>
      </c>
      <c r="L98" s="90" t="s">
        <v>4</v>
      </c>
      <c r="M98" s="90" t="s">
        <v>396</v>
      </c>
      <c r="N98" s="90" t="s">
        <v>225</v>
      </c>
      <c r="O98" s="91">
        <v>45873</v>
      </c>
      <c r="P98" s="91">
        <v>45881</v>
      </c>
      <c r="Q98" s="91">
        <v>45890</v>
      </c>
      <c r="R98" s="91">
        <v>45891</v>
      </c>
      <c r="S98" s="91">
        <v>45891</v>
      </c>
      <c r="T98" s="88"/>
      <c r="U98" s="88"/>
      <c r="V98" s="90" t="s">
        <v>32</v>
      </c>
      <c r="W98" s="90">
        <v>1</v>
      </c>
      <c r="X98" s="90" t="s">
        <v>125</v>
      </c>
      <c r="Y98" s="91">
        <v>45870</v>
      </c>
      <c r="Z98" s="91">
        <v>46053</v>
      </c>
      <c r="AA98" s="88"/>
      <c r="AB98" s="88"/>
      <c r="AC98" s="92">
        <v>45891.6875</v>
      </c>
    </row>
    <row r="99" spans="1:29" customFormat="1" ht="16" x14ac:dyDescent="0.2">
      <c r="A99" s="90" t="s">
        <v>0</v>
      </c>
      <c r="B99" s="90" t="s">
        <v>1211</v>
      </c>
      <c r="C99" s="90" t="s">
        <v>1324</v>
      </c>
      <c r="D99" s="91">
        <v>37230</v>
      </c>
      <c r="E99" s="90">
        <v>24</v>
      </c>
      <c r="F99" s="88"/>
      <c r="G99" s="90" t="s">
        <v>10</v>
      </c>
      <c r="H99" s="90" t="s">
        <v>11</v>
      </c>
      <c r="I99" s="88"/>
      <c r="J99" s="90" t="s">
        <v>539</v>
      </c>
      <c r="K99" s="90" t="s">
        <v>1325</v>
      </c>
      <c r="L99" s="90" t="s">
        <v>7</v>
      </c>
      <c r="M99" s="90" t="s">
        <v>9</v>
      </c>
      <c r="N99" s="90" t="s">
        <v>119</v>
      </c>
      <c r="O99" s="91">
        <v>45869</v>
      </c>
      <c r="P99" s="91">
        <v>45905</v>
      </c>
      <c r="Q99" s="91">
        <v>45908</v>
      </c>
      <c r="R99" s="91">
        <v>45909</v>
      </c>
      <c r="S99" s="91">
        <v>45909</v>
      </c>
      <c r="T99" s="88"/>
      <c r="U99" s="90" t="s">
        <v>319</v>
      </c>
      <c r="V99" s="90" t="s">
        <v>32</v>
      </c>
      <c r="W99" s="90">
        <v>1</v>
      </c>
      <c r="X99" s="90" t="s">
        <v>708</v>
      </c>
      <c r="Y99" s="91">
        <v>45901</v>
      </c>
      <c r="Z99" s="91">
        <v>46081</v>
      </c>
      <c r="AA99" s="88"/>
      <c r="AB99" s="88"/>
      <c r="AC99" s="92">
        <v>45951.451388888891</v>
      </c>
    </row>
    <row r="100" spans="1:29" customFormat="1" ht="16" x14ac:dyDescent="0.2">
      <c r="A100" s="90" t="s">
        <v>1</v>
      </c>
      <c r="B100" s="90" t="s">
        <v>300</v>
      </c>
      <c r="C100" s="90" t="s">
        <v>1326</v>
      </c>
      <c r="D100" s="91">
        <v>30236</v>
      </c>
      <c r="E100" s="90">
        <v>43</v>
      </c>
      <c r="F100" s="90" t="s">
        <v>10</v>
      </c>
      <c r="G100" s="90" t="s">
        <v>10</v>
      </c>
      <c r="H100" s="90" t="s">
        <v>10</v>
      </c>
      <c r="I100" s="91">
        <v>44986</v>
      </c>
      <c r="J100" s="90" t="s">
        <v>153</v>
      </c>
      <c r="K100" s="90" t="s">
        <v>1327</v>
      </c>
      <c r="L100" s="90" t="s">
        <v>4</v>
      </c>
      <c r="M100" s="90" t="s">
        <v>6</v>
      </c>
      <c r="N100" s="90" t="s">
        <v>119</v>
      </c>
      <c r="O100" s="91">
        <v>45868</v>
      </c>
      <c r="P100" s="91">
        <v>45873</v>
      </c>
      <c r="Q100" s="91">
        <v>45909</v>
      </c>
      <c r="R100" s="91">
        <v>45920</v>
      </c>
      <c r="S100" s="91">
        <v>45909</v>
      </c>
      <c r="T100" s="88"/>
      <c r="U100" s="90" t="s">
        <v>319</v>
      </c>
      <c r="V100" s="90" t="s">
        <v>32</v>
      </c>
      <c r="W100" s="90">
        <v>5</v>
      </c>
      <c r="X100" s="90" t="s">
        <v>125</v>
      </c>
      <c r="Y100" s="91">
        <v>45901</v>
      </c>
      <c r="Z100" s="91">
        <v>46081</v>
      </c>
      <c r="AA100" s="88"/>
      <c r="AB100" s="88"/>
      <c r="AC100" s="92">
        <v>45954.505555555559</v>
      </c>
    </row>
    <row r="101" spans="1:29" customFormat="1" ht="16" x14ac:dyDescent="0.2">
      <c r="A101" s="90" t="s">
        <v>1</v>
      </c>
      <c r="B101" s="90" t="s">
        <v>1328</v>
      </c>
      <c r="C101" s="90" t="s">
        <v>370</v>
      </c>
      <c r="D101" s="91">
        <v>26130</v>
      </c>
      <c r="E101" s="90">
        <v>54</v>
      </c>
      <c r="F101" s="90" t="s">
        <v>11</v>
      </c>
      <c r="G101" s="90" t="s">
        <v>11</v>
      </c>
      <c r="H101" s="90" t="s">
        <v>10</v>
      </c>
      <c r="I101" s="91">
        <v>41730</v>
      </c>
      <c r="J101" s="90" t="s">
        <v>188</v>
      </c>
      <c r="K101" s="90" t="s">
        <v>189</v>
      </c>
      <c r="L101" s="90" t="s">
        <v>5</v>
      </c>
      <c r="M101" s="90" t="s">
        <v>6</v>
      </c>
      <c r="N101" s="90" t="s">
        <v>120</v>
      </c>
      <c r="O101" s="91">
        <v>45868</v>
      </c>
      <c r="P101" s="91">
        <v>45870</v>
      </c>
      <c r="Q101" s="91">
        <v>45876</v>
      </c>
      <c r="R101" s="91">
        <v>45916</v>
      </c>
      <c r="S101" s="91">
        <v>45916</v>
      </c>
      <c r="T101" s="88"/>
      <c r="U101" s="90" t="s">
        <v>320</v>
      </c>
      <c r="V101" s="90" t="s">
        <v>32</v>
      </c>
      <c r="W101" s="90">
        <v>1</v>
      </c>
      <c r="X101" s="90" t="s">
        <v>125</v>
      </c>
      <c r="Y101" s="88"/>
      <c r="Z101" s="88"/>
      <c r="AA101" s="88"/>
      <c r="AB101" s="88"/>
      <c r="AC101" s="92">
        <v>45945.459722222222</v>
      </c>
    </row>
    <row r="102" spans="1:29" customFormat="1" ht="16" x14ac:dyDescent="0.2">
      <c r="A102" s="90" t="s">
        <v>0</v>
      </c>
      <c r="B102" s="90" t="s">
        <v>1334</v>
      </c>
      <c r="C102" s="90" t="s">
        <v>1335</v>
      </c>
      <c r="D102" s="91">
        <v>24954</v>
      </c>
      <c r="E102" s="90">
        <v>57</v>
      </c>
      <c r="F102" s="90" t="s">
        <v>11</v>
      </c>
      <c r="G102" s="90" t="s">
        <v>10</v>
      </c>
      <c r="H102" s="90" t="s">
        <v>10</v>
      </c>
      <c r="I102" s="91">
        <v>37438</v>
      </c>
      <c r="J102" s="90" t="s">
        <v>161</v>
      </c>
      <c r="K102" s="90" t="s">
        <v>606</v>
      </c>
      <c r="L102" s="90" t="s">
        <v>3</v>
      </c>
      <c r="M102" s="90" t="s">
        <v>6</v>
      </c>
      <c r="N102" s="90" t="s">
        <v>119</v>
      </c>
      <c r="O102" s="91">
        <v>45862</v>
      </c>
      <c r="P102" s="91">
        <v>45862</v>
      </c>
      <c r="Q102" s="91">
        <v>45866</v>
      </c>
      <c r="R102" s="91">
        <v>45909</v>
      </c>
      <c r="S102" s="91">
        <v>45909</v>
      </c>
      <c r="T102" s="88"/>
      <c r="U102" s="88"/>
      <c r="V102" s="90" t="s">
        <v>32</v>
      </c>
      <c r="W102" s="90">
        <v>1</v>
      </c>
      <c r="X102" s="90" t="s">
        <v>118</v>
      </c>
      <c r="Y102" s="91">
        <v>45901</v>
      </c>
      <c r="Z102" s="91">
        <v>46081</v>
      </c>
      <c r="AA102" s="88"/>
      <c r="AB102" s="88"/>
      <c r="AC102" s="92">
        <v>45909.649305555555</v>
      </c>
    </row>
    <row r="103" spans="1:29" customFormat="1" ht="16" x14ac:dyDescent="0.2">
      <c r="A103" s="90" t="s">
        <v>1</v>
      </c>
      <c r="B103" s="90" t="s">
        <v>1329</v>
      </c>
      <c r="C103" s="90" t="s">
        <v>1330</v>
      </c>
      <c r="D103" s="91">
        <v>34255</v>
      </c>
      <c r="E103" s="90">
        <v>32</v>
      </c>
      <c r="F103" s="88"/>
      <c r="G103" s="90" t="s">
        <v>10</v>
      </c>
      <c r="H103" s="90" t="s">
        <v>10</v>
      </c>
      <c r="I103" s="91">
        <v>43831</v>
      </c>
      <c r="J103" s="90" t="s">
        <v>598</v>
      </c>
      <c r="K103" s="90" t="s">
        <v>599</v>
      </c>
      <c r="L103" s="90" t="s">
        <v>7</v>
      </c>
      <c r="M103" s="90" t="s">
        <v>396</v>
      </c>
      <c r="N103" s="88"/>
      <c r="O103" s="91">
        <v>45867</v>
      </c>
      <c r="P103" s="91">
        <v>45905</v>
      </c>
      <c r="Q103" s="91">
        <v>45908</v>
      </c>
      <c r="R103" s="91">
        <v>45909</v>
      </c>
      <c r="S103" s="91">
        <v>45909</v>
      </c>
      <c r="T103" s="88"/>
      <c r="U103" s="88"/>
      <c r="V103" s="90" t="s">
        <v>32</v>
      </c>
      <c r="W103" s="90">
        <v>1</v>
      </c>
      <c r="X103" s="90" t="s">
        <v>708</v>
      </c>
      <c r="Y103" s="91">
        <v>45901</v>
      </c>
      <c r="Z103" s="91">
        <v>46081</v>
      </c>
      <c r="AA103" s="88"/>
      <c r="AB103" s="88"/>
      <c r="AC103" s="92">
        <v>45941.457638888889</v>
      </c>
    </row>
    <row r="104" spans="1:29" customFormat="1" ht="16" x14ac:dyDescent="0.2">
      <c r="A104" s="90" t="s">
        <v>1</v>
      </c>
      <c r="B104" s="90" t="s">
        <v>1331</v>
      </c>
      <c r="C104" s="90" t="s">
        <v>1332</v>
      </c>
      <c r="D104" s="91">
        <v>25370</v>
      </c>
      <c r="E104" s="90">
        <v>56</v>
      </c>
      <c r="F104" s="90" t="s">
        <v>10</v>
      </c>
      <c r="G104" s="90" t="s">
        <v>10</v>
      </c>
      <c r="H104" s="90" t="s">
        <v>10</v>
      </c>
      <c r="I104" s="91">
        <v>44562</v>
      </c>
      <c r="J104" s="90" t="s">
        <v>1136</v>
      </c>
      <c r="K104" s="90" t="s">
        <v>1137</v>
      </c>
      <c r="L104" s="90" t="s">
        <v>7</v>
      </c>
      <c r="M104" s="90" t="s">
        <v>6</v>
      </c>
      <c r="N104" s="90" t="s">
        <v>119</v>
      </c>
      <c r="O104" s="91">
        <v>45867</v>
      </c>
      <c r="P104" s="91">
        <v>45905</v>
      </c>
      <c r="Q104" s="91">
        <v>45936</v>
      </c>
      <c r="R104" s="91">
        <v>45945</v>
      </c>
      <c r="S104" s="91">
        <v>45945</v>
      </c>
      <c r="T104" s="88"/>
      <c r="U104" s="88"/>
      <c r="V104" s="90" t="s">
        <v>32</v>
      </c>
      <c r="W104" s="90">
        <v>1</v>
      </c>
      <c r="X104" s="90" t="s">
        <v>228</v>
      </c>
      <c r="Y104" s="91">
        <v>45931</v>
      </c>
      <c r="Z104" s="91">
        <v>46112</v>
      </c>
      <c r="AA104" s="88"/>
      <c r="AB104" s="88"/>
      <c r="AC104" s="92">
        <v>45945.441666666666</v>
      </c>
    </row>
    <row r="105" spans="1:29" customFormat="1" ht="16" x14ac:dyDescent="0.2">
      <c r="A105" s="90" t="s">
        <v>1</v>
      </c>
      <c r="B105" s="90" t="s">
        <v>1151</v>
      </c>
      <c r="C105" s="90" t="s">
        <v>1333</v>
      </c>
      <c r="D105" s="91">
        <v>26510</v>
      </c>
      <c r="E105" s="90">
        <v>53</v>
      </c>
      <c r="F105" s="90" t="s">
        <v>11</v>
      </c>
      <c r="G105" s="90" t="s">
        <v>10</v>
      </c>
      <c r="H105" s="90" t="s">
        <v>10</v>
      </c>
      <c r="I105" s="91">
        <v>40179</v>
      </c>
      <c r="J105" s="90" t="s">
        <v>246</v>
      </c>
      <c r="K105" s="90" t="s">
        <v>513</v>
      </c>
      <c r="L105" s="90" t="s">
        <v>3</v>
      </c>
      <c r="M105" s="90" t="s">
        <v>6</v>
      </c>
      <c r="N105" s="90" t="s">
        <v>174</v>
      </c>
      <c r="O105" s="91">
        <v>45867</v>
      </c>
      <c r="P105" s="91">
        <v>45868</v>
      </c>
      <c r="Q105" s="91">
        <v>45869</v>
      </c>
      <c r="R105" s="91">
        <v>45888</v>
      </c>
      <c r="S105" s="91">
        <v>45909</v>
      </c>
      <c r="T105" s="88"/>
      <c r="U105" s="88"/>
      <c r="V105" s="90" t="s">
        <v>32</v>
      </c>
      <c r="W105" s="90">
        <v>2</v>
      </c>
      <c r="X105" s="90" t="s">
        <v>228</v>
      </c>
      <c r="Y105" s="91">
        <v>45901</v>
      </c>
      <c r="Z105" s="91">
        <v>46081</v>
      </c>
      <c r="AA105" s="88"/>
      <c r="AB105" s="88"/>
      <c r="AC105" s="92">
        <v>45909.412499999999</v>
      </c>
    </row>
    <row r="106" spans="1:29" customFormat="1" ht="16" x14ac:dyDescent="0.2">
      <c r="A106" s="90" t="s">
        <v>0</v>
      </c>
      <c r="B106" s="90" t="s">
        <v>268</v>
      </c>
      <c r="C106" s="90" t="s">
        <v>1229</v>
      </c>
      <c r="D106" s="91">
        <v>26552</v>
      </c>
      <c r="E106" s="90">
        <v>53</v>
      </c>
      <c r="F106" s="90" t="s">
        <v>11</v>
      </c>
      <c r="G106" s="90" t="s">
        <v>10</v>
      </c>
      <c r="H106" s="90" t="s">
        <v>10</v>
      </c>
      <c r="I106" s="91">
        <v>45717</v>
      </c>
      <c r="J106" s="90" t="s">
        <v>426</v>
      </c>
      <c r="K106" s="90" t="s">
        <v>455</v>
      </c>
      <c r="L106" s="90" t="s">
        <v>4</v>
      </c>
      <c r="M106" s="90" t="s">
        <v>396</v>
      </c>
      <c r="N106" s="90" t="s">
        <v>225</v>
      </c>
      <c r="O106" s="91">
        <v>45863</v>
      </c>
      <c r="P106" s="91">
        <v>45863</v>
      </c>
      <c r="Q106" s="91">
        <v>45908</v>
      </c>
      <c r="R106" s="91">
        <v>45917</v>
      </c>
      <c r="S106" s="91">
        <v>45915</v>
      </c>
      <c r="T106" s="91">
        <v>45926</v>
      </c>
      <c r="U106" s="90" t="s">
        <v>712</v>
      </c>
      <c r="V106" s="90" t="s">
        <v>224</v>
      </c>
      <c r="W106" s="90">
        <v>1</v>
      </c>
      <c r="X106" s="90" t="s">
        <v>125</v>
      </c>
      <c r="Y106" s="88"/>
      <c r="Z106" s="88"/>
      <c r="AA106" s="88"/>
      <c r="AB106" s="88"/>
      <c r="AC106" s="92">
        <v>45952.817361111112</v>
      </c>
    </row>
    <row r="107" spans="1:29" customFormat="1" ht="16" x14ac:dyDescent="0.2">
      <c r="A107" s="90" t="s">
        <v>0</v>
      </c>
      <c r="B107" s="90" t="s">
        <v>1230</v>
      </c>
      <c r="C107" s="90" t="s">
        <v>1231</v>
      </c>
      <c r="D107" s="91">
        <v>24720</v>
      </c>
      <c r="E107" s="90">
        <v>58</v>
      </c>
      <c r="F107" s="90" t="s">
        <v>11</v>
      </c>
      <c r="G107" s="90" t="s">
        <v>10</v>
      </c>
      <c r="H107" s="90" t="s">
        <v>10</v>
      </c>
      <c r="I107" s="91">
        <v>44927</v>
      </c>
      <c r="J107" s="90" t="s">
        <v>426</v>
      </c>
      <c r="K107" s="90" t="s">
        <v>455</v>
      </c>
      <c r="L107" s="90" t="s">
        <v>4</v>
      </c>
      <c r="M107" s="90" t="s">
        <v>396</v>
      </c>
      <c r="N107" s="90" t="s">
        <v>174</v>
      </c>
      <c r="O107" s="91">
        <v>45863</v>
      </c>
      <c r="P107" s="91">
        <v>45868</v>
      </c>
      <c r="Q107" s="91">
        <v>45869</v>
      </c>
      <c r="R107" s="91">
        <v>45890</v>
      </c>
      <c r="S107" s="91">
        <v>45890</v>
      </c>
      <c r="T107" s="88"/>
      <c r="U107" s="88"/>
      <c r="V107" s="90" t="s">
        <v>32</v>
      </c>
      <c r="W107" s="90">
        <v>1</v>
      </c>
      <c r="X107" s="90" t="s">
        <v>228</v>
      </c>
      <c r="Y107" s="91">
        <v>45870</v>
      </c>
      <c r="Z107" s="91">
        <v>46053</v>
      </c>
      <c r="AA107" s="88"/>
      <c r="AB107" s="88"/>
      <c r="AC107" s="92">
        <v>45890.627083333333</v>
      </c>
    </row>
    <row r="108" spans="1:29" customFormat="1" ht="16" x14ac:dyDescent="0.2">
      <c r="A108" s="90" t="s">
        <v>0</v>
      </c>
      <c r="B108" s="90" t="s">
        <v>268</v>
      </c>
      <c r="C108" s="90" t="s">
        <v>1232</v>
      </c>
      <c r="D108" s="91">
        <v>24887</v>
      </c>
      <c r="E108" s="90">
        <v>57</v>
      </c>
      <c r="F108" s="90" t="s">
        <v>11</v>
      </c>
      <c r="G108" s="90" t="s">
        <v>10</v>
      </c>
      <c r="H108" s="90" t="s">
        <v>10</v>
      </c>
      <c r="I108" s="91">
        <v>43831</v>
      </c>
      <c r="J108" s="90" t="s">
        <v>35</v>
      </c>
      <c r="K108" s="90" t="s">
        <v>102</v>
      </c>
      <c r="L108" s="90" t="s">
        <v>5</v>
      </c>
      <c r="M108" s="90" t="s">
        <v>6</v>
      </c>
      <c r="N108" s="90" t="s">
        <v>119</v>
      </c>
      <c r="O108" s="91">
        <v>45862</v>
      </c>
      <c r="P108" s="91">
        <v>45862</v>
      </c>
      <c r="Q108" s="91">
        <v>45866</v>
      </c>
      <c r="R108" s="91">
        <v>45868</v>
      </c>
      <c r="S108" s="91">
        <v>45868</v>
      </c>
      <c r="T108" s="88"/>
      <c r="U108" s="88"/>
      <c r="V108" s="90" t="s">
        <v>32</v>
      </c>
      <c r="W108" s="90">
        <v>1</v>
      </c>
      <c r="X108" s="90" t="s">
        <v>228</v>
      </c>
      <c r="Y108" s="91">
        <v>45870</v>
      </c>
      <c r="Z108" s="91">
        <v>46053</v>
      </c>
      <c r="AA108" s="88"/>
      <c r="AB108" s="88"/>
      <c r="AC108" s="92">
        <v>45868.415277777778</v>
      </c>
    </row>
    <row r="109" spans="1:29" customFormat="1" ht="16" x14ac:dyDescent="0.2">
      <c r="A109" s="90" t="s">
        <v>0</v>
      </c>
      <c r="B109" s="90" t="s">
        <v>619</v>
      </c>
      <c r="C109" s="90" t="s">
        <v>1233</v>
      </c>
      <c r="D109" s="91">
        <v>30261</v>
      </c>
      <c r="E109" s="90">
        <v>43</v>
      </c>
      <c r="F109" s="90" t="s">
        <v>10</v>
      </c>
      <c r="G109" s="90" t="s">
        <v>11</v>
      </c>
      <c r="H109" s="90" t="s">
        <v>10</v>
      </c>
      <c r="I109" s="91">
        <v>40179</v>
      </c>
      <c r="J109" s="90" t="s">
        <v>598</v>
      </c>
      <c r="K109" s="90" t="s">
        <v>599</v>
      </c>
      <c r="L109" s="90" t="s">
        <v>7</v>
      </c>
      <c r="M109" s="90" t="s">
        <v>396</v>
      </c>
      <c r="N109" s="88"/>
      <c r="O109" s="91">
        <v>45862</v>
      </c>
      <c r="P109" s="91">
        <v>45863</v>
      </c>
      <c r="Q109" s="91">
        <v>45866</v>
      </c>
      <c r="R109" s="91">
        <v>45868</v>
      </c>
      <c r="S109" s="91">
        <v>45868</v>
      </c>
      <c r="T109" s="88"/>
      <c r="U109" s="90" t="s">
        <v>319</v>
      </c>
      <c r="V109" s="90" t="s">
        <v>32</v>
      </c>
      <c r="W109" s="90">
        <v>1</v>
      </c>
      <c r="X109" s="90" t="s">
        <v>228</v>
      </c>
      <c r="Y109" s="91">
        <v>45839</v>
      </c>
      <c r="Z109" s="91">
        <v>46022</v>
      </c>
      <c r="AA109" s="88"/>
      <c r="AB109" s="88"/>
      <c r="AC109" s="92">
        <v>45957.492361111108</v>
      </c>
    </row>
    <row r="110" spans="1:29" customFormat="1" ht="16" x14ac:dyDescent="0.2">
      <c r="A110" s="90" t="s">
        <v>0</v>
      </c>
      <c r="B110" s="90" t="s">
        <v>1234</v>
      </c>
      <c r="C110" s="90" t="s">
        <v>1235</v>
      </c>
      <c r="D110" s="91">
        <v>26891</v>
      </c>
      <c r="E110" s="90">
        <v>52</v>
      </c>
      <c r="F110" s="90" t="s">
        <v>11</v>
      </c>
      <c r="G110" s="90" t="s">
        <v>11</v>
      </c>
      <c r="H110" s="90" t="s">
        <v>10</v>
      </c>
      <c r="I110" s="91">
        <v>40909</v>
      </c>
      <c r="J110" s="90" t="s">
        <v>431</v>
      </c>
      <c r="K110" s="90" t="s">
        <v>815</v>
      </c>
      <c r="L110" s="90" t="s">
        <v>4</v>
      </c>
      <c r="M110" s="90" t="s">
        <v>6</v>
      </c>
      <c r="N110" s="88"/>
      <c r="O110" s="91">
        <v>45862</v>
      </c>
      <c r="P110" s="88"/>
      <c r="Q110" s="88"/>
      <c r="R110" s="88"/>
      <c r="S110" s="88"/>
      <c r="T110" s="88"/>
      <c r="U110" s="88"/>
      <c r="V110" s="90" t="s">
        <v>227</v>
      </c>
      <c r="W110" s="90">
        <v>0</v>
      </c>
      <c r="X110" s="88"/>
      <c r="Y110" s="88"/>
      <c r="Z110" s="88"/>
      <c r="AA110" s="88"/>
      <c r="AB110" s="88"/>
      <c r="AC110" s="92">
        <v>45876.359722222223</v>
      </c>
    </row>
    <row r="111" spans="1:29" customFormat="1" ht="16" x14ac:dyDescent="0.2">
      <c r="A111" s="90" t="s">
        <v>0</v>
      </c>
      <c r="B111" s="90" t="s">
        <v>157</v>
      </c>
      <c r="C111" s="90" t="s">
        <v>1236</v>
      </c>
      <c r="D111" s="91">
        <v>24841</v>
      </c>
      <c r="E111" s="90">
        <v>57</v>
      </c>
      <c r="F111" s="90" t="s">
        <v>11</v>
      </c>
      <c r="G111" s="90" t="s">
        <v>11</v>
      </c>
      <c r="H111" s="90" t="s">
        <v>10</v>
      </c>
      <c r="I111" s="91">
        <v>43435</v>
      </c>
      <c r="J111" s="90" t="s">
        <v>409</v>
      </c>
      <c r="K111" s="90" t="s">
        <v>959</v>
      </c>
      <c r="L111" s="90" t="s">
        <v>7</v>
      </c>
      <c r="M111" s="90" t="s">
        <v>6</v>
      </c>
      <c r="N111" s="90" t="s">
        <v>120</v>
      </c>
      <c r="O111" s="91">
        <v>45861</v>
      </c>
      <c r="P111" s="91">
        <v>45862</v>
      </c>
      <c r="Q111" s="91">
        <v>45890</v>
      </c>
      <c r="R111" s="91">
        <v>45898</v>
      </c>
      <c r="S111" s="91">
        <v>45898</v>
      </c>
      <c r="T111" s="88"/>
      <c r="U111" s="88"/>
      <c r="V111" s="90" t="s">
        <v>32</v>
      </c>
      <c r="W111" s="90">
        <v>2</v>
      </c>
      <c r="X111" s="90" t="s">
        <v>708</v>
      </c>
      <c r="Y111" s="91">
        <v>45870</v>
      </c>
      <c r="Z111" s="91">
        <v>46053</v>
      </c>
      <c r="AA111" s="88"/>
      <c r="AB111" s="88"/>
      <c r="AC111" s="92">
        <v>45950.404861111114</v>
      </c>
    </row>
    <row r="112" spans="1:29" customFormat="1" ht="16" x14ac:dyDescent="0.2">
      <c r="A112" s="90" t="s">
        <v>1</v>
      </c>
      <c r="B112" s="90" t="s">
        <v>1237</v>
      </c>
      <c r="C112" s="90" t="s">
        <v>1238</v>
      </c>
      <c r="D112" s="91">
        <v>28574</v>
      </c>
      <c r="E112" s="90">
        <v>47</v>
      </c>
      <c r="F112" s="90" t="s">
        <v>11</v>
      </c>
      <c r="G112" s="90" t="s">
        <v>10</v>
      </c>
      <c r="H112" s="90" t="s">
        <v>10</v>
      </c>
      <c r="I112" s="91">
        <v>41122</v>
      </c>
      <c r="J112" s="90" t="s">
        <v>280</v>
      </c>
      <c r="K112" s="90" t="s">
        <v>281</v>
      </c>
      <c r="L112" s="90" t="s">
        <v>7</v>
      </c>
      <c r="M112" s="90" t="s">
        <v>6</v>
      </c>
      <c r="N112" s="90" t="s">
        <v>120</v>
      </c>
      <c r="O112" s="91">
        <v>45861</v>
      </c>
      <c r="P112" s="91">
        <v>45905</v>
      </c>
      <c r="Q112" s="91">
        <v>45908</v>
      </c>
      <c r="R112" s="91">
        <v>45909</v>
      </c>
      <c r="S112" s="91">
        <v>45939</v>
      </c>
      <c r="T112" s="88"/>
      <c r="U112" s="88"/>
      <c r="V112" s="90" t="s">
        <v>32</v>
      </c>
      <c r="W112" s="90">
        <v>2</v>
      </c>
      <c r="X112" s="90" t="s">
        <v>708</v>
      </c>
      <c r="Y112" s="91">
        <v>45901</v>
      </c>
      <c r="Z112" s="91">
        <v>46081</v>
      </c>
      <c r="AA112" s="88"/>
      <c r="AB112" s="88"/>
      <c r="AC112" s="92">
        <v>45954.649305555555</v>
      </c>
    </row>
    <row r="113" spans="1:29" customFormat="1" ht="16" x14ac:dyDescent="0.2">
      <c r="A113" s="90" t="s">
        <v>0</v>
      </c>
      <c r="B113" s="90" t="s">
        <v>1239</v>
      </c>
      <c r="C113" s="90" t="s">
        <v>236</v>
      </c>
      <c r="D113" s="91">
        <v>28342</v>
      </c>
      <c r="E113" s="90">
        <v>48</v>
      </c>
      <c r="F113" s="90" t="s">
        <v>11</v>
      </c>
      <c r="G113" s="90" t="s">
        <v>10</v>
      </c>
      <c r="H113" s="90" t="s">
        <v>10</v>
      </c>
      <c r="I113" s="91">
        <v>44682</v>
      </c>
      <c r="J113" s="90" t="s">
        <v>129</v>
      </c>
      <c r="K113" s="90" t="s">
        <v>130</v>
      </c>
      <c r="L113" s="90" t="s">
        <v>7</v>
      </c>
      <c r="M113" s="90" t="s">
        <v>6</v>
      </c>
      <c r="N113" s="90" t="s">
        <v>225</v>
      </c>
      <c r="O113" s="91">
        <v>45861</v>
      </c>
      <c r="P113" s="91">
        <v>45905</v>
      </c>
      <c r="Q113" s="91">
        <v>45908</v>
      </c>
      <c r="R113" s="91">
        <v>45909</v>
      </c>
      <c r="S113" s="91">
        <v>45909</v>
      </c>
      <c r="T113" s="88"/>
      <c r="U113" s="88"/>
      <c r="V113" s="90" t="s">
        <v>32</v>
      </c>
      <c r="W113" s="90">
        <v>1</v>
      </c>
      <c r="X113" s="90" t="s">
        <v>708</v>
      </c>
      <c r="Y113" s="91">
        <v>45901</v>
      </c>
      <c r="Z113" s="91">
        <v>46081</v>
      </c>
      <c r="AA113" s="88"/>
      <c r="AB113" s="88"/>
      <c r="AC113" s="92">
        <v>45944.668055555558</v>
      </c>
    </row>
    <row r="114" spans="1:29" customFormat="1" ht="16" x14ac:dyDescent="0.2">
      <c r="A114" s="90" t="s">
        <v>0</v>
      </c>
      <c r="B114" s="90" t="s">
        <v>558</v>
      </c>
      <c r="C114" s="90" t="s">
        <v>1240</v>
      </c>
      <c r="D114" s="91">
        <v>33291</v>
      </c>
      <c r="E114" s="90">
        <v>34</v>
      </c>
      <c r="F114" s="90" t="s">
        <v>11</v>
      </c>
      <c r="G114" s="90" t="s">
        <v>11</v>
      </c>
      <c r="H114" s="90" t="s">
        <v>10</v>
      </c>
      <c r="I114" s="91">
        <v>39904</v>
      </c>
      <c r="J114" s="90" t="s">
        <v>1241</v>
      </c>
      <c r="K114" s="90" t="s">
        <v>296</v>
      </c>
      <c r="L114" s="90" t="s">
        <v>3</v>
      </c>
      <c r="M114" s="90" t="s">
        <v>6</v>
      </c>
      <c r="N114" s="90" t="s">
        <v>174</v>
      </c>
      <c r="O114" s="91">
        <v>45860</v>
      </c>
      <c r="P114" s="91">
        <v>45862</v>
      </c>
      <c r="Q114" s="91">
        <v>45862</v>
      </c>
      <c r="R114" s="91">
        <v>45887</v>
      </c>
      <c r="S114" s="91">
        <v>45950</v>
      </c>
      <c r="T114" s="88"/>
      <c r="U114" s="88"/>
      <c r="V114" s="90" t="s">
        <v>32</v>
      </c>
      <c r="W114" s="90">
        <v>6</v>
      </c>
      <c r="X114" s="90" t="s">
        <v>228</v>
      </c>
      <c r="Y114" s="91">
        <v>45931</v>
      </c>
      <c r="Z114" s="91">
        <v>46112</v>
      </c>
      <c r="AA114" s="88"/>
      <c r="AB114" s="88"/>
      <c r="AC114" s="92">
        <v>45950.428472222222</v>
      </c>
    </row>
    <row r="115" spans="1:29" customFormat="1" ht="16" x14ac:dyDescent="0.2">
      <c r="A115" s="90" t="s">
        <v>0</v>
      </c>
      <c r="B115" s="90" t="s">
        <v>1242</v>
      </c>
      <c r="C115" s="90" t="s">
        <v>1243</v>
      </c>
      <c r="D115" s="91">
        <v>31520</v>
      </c>
      <c r="E115" s="90">
        <v>39</v>
      </c>
      <c r="F115" s="90" t="s">
        <v>10</v>
      </c>
      <c r="G115" s="90" t="s">
        <v>10</v>
      </c>
      <c r="H115" s="90" t="s">
        <v>10</v>
      </c>
      <c r="I115" s="91">
        <v>41365</v>
      </c>
      <c r="J115" s="90" t="s">
        <v>409</v>
      </c>
      <c r="K115" s="90" t="s">
        <v>959</v>
      </c>
      <c r="L115" s="90" t="s">
        <v>7</v>
      </c>
      <c r="M115" s="90" t="s">
        <v>6</v>
      </c>
      <c r="N115" s="90" t="s">
        <v>119</v>
      </c>
      <c r="O115" s="91">
        <v>45860</v>
      </c>
      <c r="P115" s="91">
        <v>45905</v>
      </c>
      <c r="Q115" s="91">
        <v>45908</v>
      </c>
      <c r="R115" s="91">
        <v>45919</v>
      </c>
      <c r="S115" s="91">
        <v>45919</v>
      </c>
      <c r="T115" s="88"/>
      <c r="U115" s="88"/>
      <c r="V115" s="90" t="s">
        <v>32</v>
      </c>
      <c r="W115" s="90">
        <v>1</v>
      </c>
      <c r="X115" s="90" t="s">
        <v>228</v>
      </c>
      <c r="Y115" s="91">
        <v>45901</v>
      </c>
      <c r="Z115" s="91">
        <v>46081</v>
      </c>
      <c r="AA115" s="88"/>
      <c r="AB115" s="88"/>
      <c r="AC115" s="92">
        <v>45941.463194444441</v>
      </c>
    </row>
    <row r="116" spans="1:29" customFormat="1" ht="16" x14ac:dyDescent="0.2">
      <c r="A116" s="90" t="s">
        <v>1</v>
      </c>
      <c r="B116" s="90" t="s">
        <v>1244</v>
      </c>
      <c r="C116" s="90" t="s">
        <v>1245</v>
      </c>
      <c r="D116" s="91">
        <v>35779</v>
      </c>
      <c r="E116" s="90">
        <v>28</v>
      </c>
      <c r="F116" s="90" t="s">
        <v>11</v>
      </c>
      <c r="G116" s="90" t="s">
        <v>10</v>
      </c>
      <c r="H116" s="90" t="s">
        <v>10</v>
      </c>
      <c r="I116" s="91">
        <v>45658</v>
      </c>
      <c r="J116" s="90" t="s">
        <v>485</v>
      </c>
      <c r="K116" s="90" t="s">
        <v>211</v>
      </c>
      <c r="L116" s="90" t="s">
        <v>7</v>
      </c>
      <c r="M116" s="90" t="s">
        <v>6</v>
      </c>
      <c r="N116" s="88"/>
      <c r="O116" s="91">
        <v>45860</v>
      </c>
      <c r="P116" s="91">
        <v>45868</v>
      </c>
      <c r="Q116" s="91">
        <v>45870</v>
      </c>
      <c r="R116" s="88"/>
      <c r="S116" s="91">
        <v>45870</v>
      </c>
      <c r="T116" s="91">
        <v>45870</v>
      </c>
      <c r="U116" s="90" t="s">
        <v>712</v>
      </c>
      <c r="V116" s="90" t="s">
        <v>224</v>
      </c>
      <c r="W116" s="90">
        <v>1</v>
      </c>
      <c r="X116" s="90" t="s">
        <v>125</v>
      </c>
      <c r="Y116" s="88"/>
      <c r="Z116" s="88"/>
      <c r="AA116" s="88"/>
      <c r="AB116" s="88"/>
      <c r="AC116" s="92">
        <v>45952.820833333331</v>
      </c>
    </row>
    <row r="117" spans="1:29" customFormat="1" ht="16" x14ac:dyDescent="0.2">
      <c r="A117" s="90" t="s">
        <v>0</v>
      </c>
      <c r="B117" s="90" t="s">
        <v>194</v>
      </c>
      <c r="C117" s="90" t="s">
        <v>1246</v>
      </c>
      <c r="D117" s="91">
        <v>36321</v>
      </c>
      <c r="E117" s="90">
        <v>26</v>
      </c>
      <c r="F117" s="90" t="s">
        <v>10</v>
      </c>
      <c r="G117" s="90" t="s">
        <v>10</v>
      </c>
      <c r="H117" s="90" t="s">
        <v>10</v>
      </c>
      <c r="I117" s="91">
        <v>45809</v>
      </c>
      <c r="J117" s="90" t="s">
        <v>304</v>
      </c>
      <c r="K117" s="90" t="s">
        <v>1144</v>
      </c>
      <c r="L117" s="90" t="s">
        <v>4</v>
      </c>
      <c r="M117" s="90" t="s">
        <v>6</v>
      </c>
      <c r="N117" s="90" t="s">
        <v>120</v>
      </c>
      <c r="O117" s="91">
        <v>45860</v>
      </c>
      <c r="P117" s="91">
        <v>45867</v>
      </c>
      <c r="Q117" s="91">
        <v>45873</v>
      </c>
      <c r="R117" s="91">
        <v>45891</v>
      </c>
      <c r="S117" s="91">
        <v>45891</v>
      </c>
      <c r="T117" s="88"/>
      <c r="U117" s="88"/>
      <c r="V117" s="90" t="s">
        <v>32</v>
      </c>
      <c r="W117" s="90">
        <v>1</v>
      </c>
      <c r="X117" s="90" t="s">
        <v>125</v>
      </c>
      <c r="Y117" s="91">
        <v>45870</v>
      </c>
      <c r="Z117" s="91">
        <v>46053</v>
      </c>
      <c r="AA117" s="88"/>
      <c r="AB117" s="88"/>
      <c r="AC117" s="92">
        <v>45891.526388888888</v>
      </c>
    </row>
    <row r="118" spans="1:29" customFormat="1" ht="16" x14ac:dyDescent="0.2">
      <c r="A118" s="90" t="s">
        <v>0</v>
      </c>
      <c r="B118" s="90" t="s">
        <v>1247</v>
      </c>
      <c r="C118" s="90" t="s">
        <v>1248</v>
      </c>
      <c r="D118" s="91">
        <v>33631</v>
      </c>
      <c r="E118" s="90">
        <v>33</v>
      </c>
      <c r="F118" s="88"/>
      <c r="G118" s="90" t="s">
        <v>10</v>
      </c>
      <c r="H118" s="90" t="s">
        <v>10</v>
      </c>
      <c r="I118" s="91">
        <v>45717</v>
      </c>
      <c r="J118" s="90" t="s">
        <v>159</v>
      </c>
      <c r="K118" s="90" t="s">
        <v>160</v>
      </c>
      <c r="L118" s="90" t="s">
        <v>5</v>
      </c>
      <c r="M118" s="90" t="s">
        <v>6</v>
      </c>
      <c r="N118" s="90" t="s">
        <v>119</v>
      </c>
      <c r="O118" s="91">
        <v>45855</v>
      </c>
      <c r="P118" s="91">
        <v>45855</v>
      </c>
      <c r="Q118" s="91">
        <v>45855</v>
      </c>
      <c r="R118" s="91">
        <v>45875</v>
      </c>
      <c r="S118" s="91">
        <v>45875</v>
      </c>
      <c r="T118" s="88"/>
      <c r="U118" s="88"/>
      <c r="V118" s="90" t="s">
        <v>32</v>
      </c>
      <c r="W118" s="90">
        <v>1</v>
      </c>
      <c r="X118" s="90" t="s">
        <v>228</v>
      </c>
      <c r="Y118" s="91">
        <v>45870</v>
      </c>
      <c r="Z118" s="91">
        <v>46053</v>
      </c>
      <c r="AA118" s="88"/>
      <c r="AB118" s="88"/>
      <c r="AC118" s="92">
        <v>45945.585416666669</v>
      </c>
    </row>
    <row r="119" spans="1:29" customFormat="1" ht="16" x14ac:dyDescent="0.2">
      <c r="A119" s="90" t="s">
        <v>0</v>
      </c>
      <c r="B119" s="90" t="s">
        <v>1249</v>
      </c>
      <c r="C119" s="90" t="s">
        <v>1250</v>
      </c>
      <c r="D119" s="91">
        <v>28947</v>
      </c>
      <c r="E119" s="90">
        <v>46</v>
      </c>
      <c r="F119" s="90" t="s">
        <v>10</v>
      </c>
      <c r="G119" s="90" t="s">
        <v>10</v>
      </c>
      <c r="H119" s="90" t="s">
        <v>10</v>
      </c>
      <c r="I119" s="91">
        <v>45108</v>
      </c>
      <c r="J119" s="90" t="s">
        <v>237</v>
      </c>
      <c r="K119" s="90" t="s">
        <v>243</v>
      </c>
      <c r="L119" s="90" t="s">
        <v>3</v>
      </c>
      <c r="M119" s="90" t="s">
        <v>6</v>
      </c>
      <c r="N119" s="88"/>
      <c r="O119" s="91">
        <v>45854</v>
      </c>
      <c r="P119" s="91">
        <v>45854</v>
      </c>
      <c r="Q119" s="91">
        <v>45873</v>
      </c>
      <c r="R119" s="88"/>
      <c r="S119" s="88"/>
      <c r="T119" s="91">
        <v>45922</v>
      </c>
      <c r="U119" s="88"/>
      <c r="V119" s="90" t="s">
        <v>224</v>
      </c>
      <c r="W119" s="90">
        <v>0</v>
      </c>
      <c r="X119" s="88"/>
      <c r="Y119" s="88"/>
      <c r="Z119" s="88"/>
      <c r="AA119" s="88"/>
      <c r="AB119" s="88"/>
      <c r="AC119" s="92">
        <v>45922.457638888889</v>
      </c>
    </row>
    <row r="120" spans="1:29" customFormat="1" ht="16" x14ac:dyDescent="0.2">
      <c r="A120" s="90" t="s">
        <v>1</v>
      </c>
      <c r="B120" s="90" t="s">
        <v>751</v>
      </c>
      <c r="C120" s="90" t="s">
        <v>752</v>
      </c>
      <c r="D120" s="91">
        <v>26399</v>
      </c>
      <c r="E120" s="90">
        <v>53</v>
      </c>
      <c r="F120" s="90" t="s">
        <v>10</v>
      </c>
      <c r="G120" s="90" t="s">
        <v>10</v>
      </c>
      <c r="H120" s="90" t="s">
        <v>10</v>
      </c>
      <c r="I120" s="91">
        <v>45352</v>
      </c>
      <c r="J120" s="90" t="s">
        <v>212</v>
      </c>
      <c r="K120" s="90" t="s">
        <v>213</v>
      </c>
      <c r="L120" s="90" t="s">
        <v>5</v>
      </c>
      <c r="M120" s="90" t="s">
        <v>6</v>
      </c>
      <c r="N120" s="88"/>
      <c r="O120" s="91">
        <v>45853</v>
      </c>
      <c r="P120" s="91">
        <v>45853</v>
      </c>
      <c r="Q120" s="91">
        <v>45873</v>
      </c>
      <c r="R120" s="88"/>
      <c r="S120" s="91">
        <v>45873</v>
      </c>
      <c r="T120" s="91">
        <v>45873</v>
      </c>
      <c r="U120" s="90" t="s">
        <v>712</v>
      </c>
      <c r="V120" s="90" t="s">
        <v>224</v>
      </c>
      <c r="W120" s="90">
        <v>0</v>
      </c>
      <c r="X120" s="88"/>
      <c r="Y120" s="88"/>
      <c r="Z120" s="88"/>
      <c r="AA120" s="88"/>
      <c r="AB120" s="88"/>
      <c r="AC120" s="92">
        <v>45873.375</v>
      </c>
    </row>
    <row r="121" spans="1:29" customFormat="1" ht="16" x14ac:dyDescent="0.2">
      <c r="A121" s="90" t="s">
        <v>1</v>
      </c>
      <c r="B121" s="90" t="s">
        <v>1251</v>
      </c>
      <c r="C121" s="90" t="s">
        <v>1252</v>
      </c>
      <c r="D121" s="91">
        <v>25903</v>
      </c>
      <c r="E121" s="90">
        <v>55</v>
      </c>
      <c r="F121" s="90" t="s">
        <v>11</v>
      </c>
      <c r="G121" s="90" t="s">
        <v>10</v>
      </c>
      <c r="H121" s="90" t="s">
        <v>10</v>
      </c>
      <c r="I121" s="91">
        <v>45383</v>
      </c>
      <c r="J121" s="90" t="s">
        <v>280</v>
      </c>
      <c r="K121" s="90" t="s">
        <v>281</v>
      </c>
      <c r="L121" s="90" t="s">
        <v>7</v>
      </c>
      <c r="M121" s="90" t="s">
        <v>6</v>
      </c>
      <c r="N121" s="90" t="s">
        <v>120</v>
      </c>
      <c r="O121" s="91">
        <v>45853</v>
      </c>
      <c r="P121" s="91">
        <v>45868</v>
      </c>
      <c r="Q121" s="91">
        <v>45875</v>
      </c>
      <c r="R121" s="91">
        <v>45891</v>
      </c>
      <c r="S121" s="91">
        <v>45957</v>
      </c>
      <c r="T121" s="88"/>
      <c r="U121" s="88"/>
      <c r="V121" s="90" t="s">
        <v>32</v>
      </c>
      <c r="W121" s="90">
        <v>2</v>
      </c>
      <c r="X121" s="90" t="s">
        <v>708</v>
      </c>
      <c r="Y121" s="91">
        <v>45931</v>
      </c>
      <c r="Z121" s="91">
        <v>46112</v>
      </c>
      <c r="AA121" s="88"/>
      <c r="AB121" s="88"/>
      <c r="AC121" s="92">
        <v>45957.609722222223</v>
      </c>
    </row>
    <row r="122" spans="1:29" customFormat="1" ht="16" x14ac:dyDescent="0.2">
      <c r="A122" s="90" t="s">
        <v>0</v>
      </c>
      <c r="B122" s="90" t="s">
        <v>1253</v>
      </c>
      <c r="C122" s="90" t="s">
        <v>1254</v>
      </c>
      <c r="D122" s="91">
        <v>23610</v>
      </c>
      <c r="E122" s="90">
        <v>61</v>
      </c>
      <c r="F122" s="90" t="s">
        <v>11</v>
      </c>
      <c r="G122" s="90" t="s">
        <v>10</v>
      </c>
      <c r="H122" s="90" t="s">
        <v>10</v>
      </c>
      <c r="I122" s="91">
        <v>43739</v>
      </c>
      <c r="J122" s="90" t="s">
        <v>161</v>
      </c>
      <c r="K122" s="90" t="s">
        <v>208</v>
      </c>
      <c r="L122" s="90" t="s">
        <v>7</v>
      </c>
      <c r="M122" s="90" t="s">
        <v>6</v>
      </c>
      <c r="N122" s="90" t="s">
        <v>225</v>
      </c>
      <c r="O122" s="91">
        <v>45849</v>
      </c>
      <c r="P122" s="91">
        <v>45867</v>
      </c>
      <c r="Q122" s="91">
        <v>45867</v>
      </c>
      <c r="R122" s="91">
        <v>45874</v>
      </c>
      <c r="S122" s="91">
        <v>45874</v>
      </c>
      <c r="T122" s="88"/>
      <c r="U122" s="88"/>
      <c r="V122" s="90" t="s">
        <v>32</v>
      </c>
      <c r="W122" s="90">
        <v>2</v>
      </c>
      <c r="X122" s="90" t="s">
        <v>228</v>
      </c>
      <c r="Y122" s="91">
        <v>45870</v>
      </c>
      <c r="Z122" s="91">
        <v>46053</v>
      </c>
      <c r="AA122" s="88"/>
      <c r="AB122" s="88"/>
      <c r="AC122" s="92">
        <v>45944.67291666667</v>
      </c>
    </row>
    <row r="123" spans="1:29" customFormat="1" ht="16" x14ac:dyDescent="0.2">
      <c r="A123" s="90" t="s">
        <v>0</v>
      </c>
      <c r="B123" s="90" t="s">
        <v>1255</v>
      </c>
      <c r="C123" s="90" t="s">
        <v>1256</v>
      </c>
      <c r="D123" s="91">
        <v>33311</v>
      </c>
      <c r="E123" s="90">
        <v>34</v>
      </c>
      <c r="F123" s="90" t="s">
        <v>11</v>
      </c>
      <c r="G123" s="90" t="s">
        <v>11</v>
      </c>
      <c r="H123" s="90" t="s">
        <v>10</v>
      </c>
      <c r="I123" s="91">
        <v>43070</v>
      </c>
      <c r="J123" s="90" t="s">
        <v>409</v>
      </c>
      <c r="K123" s="90" t="s">
        <v>959</v>
      </c>
      <c r="L123" s="90" t="s">
        <v>7</v>
      </c>
      <c r="M123" s="90" t="s">
        <v>6</v>
      </c>
      <c r="N123" s="88"/>
      <c r="O123" s="91">
        <v>45848</v>
      </c>
      <c r="P123" s="91">
        <v>45867</v>
      </c>
      <c r="Q123" s="91">
        <v>45875</v>
      </c>
      <c r="R123" s="91">
        <v>45901</v>
      </c>
      <c r="S123" s="88"/>
      <c r="T123" s="88"/>
      <c r="U123" s="88"/>
      <c r="V123" s="90" t="s">
        <v>32</v>
      </c>
      <c r="W123" s="90">
        <v>3</v>
      </c>
      <c r="X123" s="90" t="s">
        <v>708</v>
      </c>
      <c r="Y123" s="88"/>
      <c r="Z123" s="88"/>
      <c r="AA123" s="88"/>
      <c r="AB123" s="88"/>
      <c r="AC123" s="92">
        <v>45867.745833333334</v>
      </c>
    </row>
    <row r="124" spans="1:29" customFormat="1" ht="16" x14ac:dyDescent="0.2">
      <c r="A124" s="90" t="s">
        <v>0</v>
      </c>
      <c r="B124" s="90" t="s">
        <v>1257</v>
      </c>
      <c r="C124" s="90" t="s">
        <v>1258</v>
      </c>
      <c r="D124" s="91">
        <v>29056</v>
      </c>
      <c r="E124" s="90">
        <v>46</v>
      </c>
      <c r="F124" s="90" t="s">
        <v>11</v>
      </c>
      <c r="G124" s="90" t="s">
        <v>11</v>
      </c>
      <c r="H124" s="90" t="s">
        <v>10</v>
      </c>
      <c r="I124" s="91">
        <v>45231</v>
      </c>
      <c r="J124" s="90" t="s">
        <v>161</v>
      </c>
      <c r="K124" s="90" t="s">
        <v>606</v>
      </c>
      <c r="L124" s="90" t="s">
        <v>3</v>
      </c>
      <c r="M124" s="90" t="s">
        <v>6</v>
      </c>
      <c r="N124" s="90" t="s">
        <v>117</v>
      </c>
      <c r="O124" s="91">
        <v>45848</v>
      </c>
      <c r="P124" s="91">
        <v>45854</v>
      </c>
      <c r="Q124" s="91">
        <v>45873</v>
      </c>
      <c r="R124" s="91">
        <v>45924</v>
      </c>
      <c r="S124" s="91">
        <v>45924</v>
      </c>
      <c r="T124" s="88"/>
      <c r="U124" s="88"/>
      <c r="V124" s="90" t="s">
        <v>32</v>
      </c>
      <c r="W124" s="90">
        <v>1</v>
      </c>
      <c r="X124" s="90" t="s">
        <v>118</v>
      </c>
      <c r="Y124" s="91">
        <v>45901</v>
      </c>
      <c r="Z124" s="91">
        <v>46081</v>
      </c>
      <c r="AA124" s="88"/>
      <c r="AB124" s="88"/>
      <c r="AC124" s="92">
        <v>45924.723611111112</v>
      </c>
    </row>
    <row r="125" spans="1:29" customFormat="1" ht="16" x14ac:dyDescent="0.2">
      <c r="A125" s="90" t="s">
        <v>1</v>
      </c>
      <c r="B125" s="90" t="s">
        <v>1259</v>
      </c>
      <c r="C125" s="90" t="s">
        <v>1260</v>
      </c>
      <c r="D125" s="91">
        <v>25138</v>
      </c>
      <c r="E125" s="90">
        <v>57</v>
      </c>
      <c r="F125" s="90" t="s">
        <v>10</v>
      </c>
      <c r="G125" s="90" t="s">
        <v>11</v>
      </c>
      <c r="H125" s="90" t="s">
        <v>11</v>
      </c>
      <c r="I125" s="91">
        <v>45847</v>
      </c>
      <c r="J125" s="90" t="s">
        <v>950</v>
      </c>
      <c r="K125" s="90" t="s">
        <v>951</v>
      </c>
      <c r="L125" s="90" t="s">
        <v>5</v>
      </c>
      <c r="M125" s="90" t="s">
        <v>931</v>
      </c>
      <c r="N125" s="90" t="s">
        <v>120</v>
      </c>
      <c r="O125" s="91">
        <v>45847</v>
      </c>
      <c r="P125" s="91">
        <v>45860</v>
      </c>
      <c r="Q125" s="91">
        <v>45861</v>
      </c>
      <c r="R125" s="91">
        <v>45889</v>
      </c>
      <c r="S125" s="91">
        <v>45861</v>
      </c>
      <c r="T125" s="88"/>
      <c r="U125" s="90" t="s">
        <v>320</v>
      </c>
      <c r="V125" s="90" t="s">
        <v>32</v>
      </c>
      <c r="W125" s="90">
        <v>1</v>
      </c>
      <c r="X125" s="90" t="s">
        <v>125</v>
      </c>
      <c r="Y125" s="88"/>
      <c r="Z125" s="88"/>
      <c r="AA125" s="88"/>
      <c r="AB125" s="88"/>
      <c r="AC125" s="92">
        <v>45861.606944444444</v>
      </c>
    </row>
    <row r="126" spans="1:29" customFormat="1" ht="16" x14ac:dyDescent="0.2">
      <c r="A126" s="90" t="s">
        <v>1</v>
      </c>
      <c r="B126" s="90" t="s">
        <v>1261</v>
      </c>
      <c r="C126" s="90" t="s">
        <v>1262</v>
      </c>
      <c r="D126" s="91">
        <v>23496</v>
      </c>
      <c r="E126" s="90">
        <v>61</v>
      </c>
      <c r="F126" s="90" t="s">
        <v>11</v>
      </c>
      <c r="G126" s="88"/>
      <c r="H126" s="90" t="s">
        <v>10</v>
      </c>
      <c r="I126" s="91">
        <v>44743</v>
      </c>
      <c r="J126" s="90" t="s">
        <v>161</v>
      </c>
      <c r="K126" s="90" t="s">
        <v>606</v>
      </c>
      <c r="L126" s="90" t="s">
        <v>3</v>
      </c>
      <c r="M126" s="90" t="s">
        <v>6</v>
      </c>
      <c r="N126" s="88"/>
      <c r="O126" s="91">
        <v>45847</v>
      </c>
      <c r="P126" s="91">
        <v>45854</v>
      </c>
      <c r="Q126" s="91">
        <v>45860</v>
      </c>
      <c r="R126" s="91">
        <v>45875</v>
      </c>
      <c r="S126" s="88"/>
      <c r="T126" s="88"/>
      <c r="U126" s="88"/>
      <c r="V126" s="90" t="s">
        <v>32</v>
      </c>
      <c r="W126" s="90">
        <v>3</v>
      </c>
      <c r="X126" s="90" t="s">
        <v>228</v>
      </c>
      <c r="Y126" s="88"/>
      <c r="Z126" s="88"/>
      <c r="AA126" s="88"/>
      <c r="AB126" s="88"/>
      <c r="AC126" s="92">
        <v>45936.474999999999</v>
      </c>
    </row>
    <row r="127" spans="1:29" customFormat="1" ht="16" x14ac:dyDescent="0.2">
      <c r="A127" s="90" t="s">
        <v>1</v>
      </c>
      <c r="B127" s="90" t="s">
        <v>122</v>
      </c>
      <c r="C127" s="90" t="s">
        <v>1263</v>
      </c>
      <c r="D127" s="91">
        <v>24854</v>
      </c>
      <c r="E127" s="90">
        <v>57</v>
      </c>
      <c r="F127" s="90" t="s">
        <v>11</v>
      </c>
      <c r="G127" s="90" t="s">
        <v>10</v>
      </c>
      <c r="H127" s="90" t="s">
        <v>10</v>
      </c>
      <c r="I127" s="91">
        <v>45502</v>
      </c>
      <c r="J127" s="90" t="s">
        <v>1040</v>
      </c>
      <c r="K127" s="90" t="s">
        <v>1041</v>
      </c>
      <c r="L127" s="90" t="s">
        <v>3</v>
      </c>
      <c r="M127" s="90" t="s">
        <v>396</v>
      </c>
      <c r="N127" s="90" t="s">
        <v>119</v>
      </c>
      <c r="O127" s="91">
        <v>45847</v>
      </c>
      <c r="P127" s="91">
        <v>45882</v>
      </c>
      <c r="Q127" s="91">
        <v>45887</v>
      </c>
      <c r="R127" s="91">
        <v>45888</v>
      </c>
      <c r="S127" s="91">
        <v>45895</v>
      </c>
      <c r="T127" s="88"/>
      <c r="U127" s="88"/>
      <c r="V127" s="90" t="s">
        <v>32</v>
      </c>
      <c r="W127" s="90">
        <v>1</v>
      </c>
      <c r="X127" s="90" t="s">
        <v>118</v>
      </c>
      <c r="Y127" s="91">
        <v>45870</v>
      </c>
      <c r="Z127" s="91">
        <v>46053</v>
      </c>
      <c r="AA127" s="88"/>
      <c r="AB127" s="88"/>
      <c r="AC127" s="92">
        <v>45895.474305555559</v>
      </c>
    </row>
    <row r="128" spans="1:29" customFormat="1" ht="16" x14ac:dyDescent="0.2">
      <c r="A128" s="90" t="s">
        <v>1</v>
      </c>
      <c r="B128" s="90" t="s">
        <v>1264</v>
      </c>
      <c r="C128" s="90" t="s">
        <v>1265</v>
      </c>
      <c r="D128" s="91">
        <v>36614</v>
      </c>
      <c r="E128" s="90">
        <v>25</v>
      </c>
      <c r="F128" s="90" t="s">
        <v>10</v>
      </c>
      <c r="G128" s="90" t="s">
        <v>10</v>
      </c>
      <c r="H128" s="90" t="s">
        <v>11</v>
      </c>
      <c r="I128" s="91">
        <v>45846</v>
      </c>
      <c r="J128" s="90" t="s">
        <v>305</v>
      </c>
      <c r="K128" s="90" t="s">
        <v>306</v>
      </c>
      <c r="L128" s="90" t="s">
        <v>5</v>
      </c>
      <c r="M128" s="90" t="s">
        <v>9</v>
      </c>
      <c r="N128" s="88"/>
      <c r="O128" s="91">
        <v>45846</v>
      </c>
      <c r="P128" s="88"/>
      <c r="Q128" s="88"/>
      <c r="R128" s="88"/>
      <c r="S128" s="88"/>
      <c r="T128" s="88"/>
      <c r="U128" s="88"/>
      <c r="V128" s="90" t="s">
        <v>227</v>
      </c>
      <c r="W128" s="90">
        <v>0</v>
      </c>
      <c r="X128" s="88"/>
      <c r="Y128" s="88"/>
      <c r="Z128" s="88"/>
      <c r="AA128" s="88"/>
      <c r="AB128" s="88"/>
      <c r="AC128" s="92">
        <v>45911.436111111114</v>
      </c>
    </row>
    <row r="129" spans="1:29" customFormat="1" ht="16" x14ac:dyDescent="0.2">
      <c r="A129" s="90" t="s">
        <v>1</v>
      </c>
      <c r="B129" s="90" t="s">
        <v>1266</v>
      </c>
      <c r="C129" s="90" t="s">
        <v>1250</v>
      </c>
      <c r="D129" s="91">
        <v>28947</v>
      </c>
      <c r="E129" s="90">
        <v>46</v>
      </c>
      <c r="F129" s="90" t="s">
        <v>10</v>
      </c>
      <c r="G129" s="90" t="s">
        <v>10</v>
      </c>
      <c r="H129" s="90" t="s">
        <v>10</v>
      </c>
      <c r="I129" s="91">
        <v>45839</v>
      </c>
      <c r="J129" s="90" t="s">
        <v>1267</v>
      </c>
      <c r="K129" s="90" t="s">
        <v>1268</v>
      </c>
      <c r="L129" s="90" t="s">
        <v>3</v>
      </c>
      <c r="M129" s="90" t="s">
        <v>6</v>
      </c>
      <c r="N129" s="88"/>
      <c r="O129" s="91">
        <v>45845</v>
      </c>
      <c r="P129" s="88"/>
      <c r="Q129" s="88"/>
      <c r="R129" s="88"/>
      <c r="S129" s="88"/>
      <c r="T129" s="88"/>
      <c r="U129" s="88"/>
      <c r="V129" s="90" t="s">
        <v>227</v>
      </c>
      <c r="W129" s="90">
        <v>0</v>
      </c>
      <c r="X129" s="88"/>
      <c r="Y129" s="88"/>
      <c r="Z129" s="88"/>
      <c r="AA129" s="88"/>
      <c r="AB129" s="88"/>
      <c r="AC129" s="92">
        <v>45848.684027777781</v>
      </c>
    </row>
    <row r="130" spans="1:29" customFormat="1" ht="16" x14ac:dyDescent="0.2">
      <c r="A130" s="90" t="s">
        <v>1</v>
      </c>
      <c r="B130" s="90" t="s">
        <v>895</v>
      </c>
      <c r="C130" s="90" t="s">
        <v>425</v>
      </c>
      <c r="D130" s="91">
        <v>31819</v>
      </c>
      <c r="E130" s="90">
        <v>38</v>
      </c>
      <c r="F130" s="90" t="s">
        <v>11</v>
      </c>
      <c r="G130" s="90" t="s">
        <v>11</v>
      </c>
      <c r="H130" s="90" t="s">
        <v>10</v>
      </c>
      <c r="I130" s="91">
        <v>39965</v>
      </c>
      <c r="J130" s="90" t="s">
        <v>109</v>
      </c>
      <c r="K130" s="90" t="s">
        <v>1269</v>
      </c>
      <c r="L130" s="90" t="s">
        <v>3</v>
      </c>
      <c r="M130" s="90" t="s">
        <v>6</v>
      </c>
      <c r="N130" s="90" t="s">
        <v>117</v>
      </c>
      <c r="O130" s="91">
        <v>45845</v>
      </c>
      <c r="P130" s="91">
        <v>45849</v>
      </c>
      <c r="Q130" s="91">
        <v>45862</v>
      </c>
      <c r="R130" s="91">
        <v>45922</v>
      </c>
      <c r="S130" s="91">
        <v>45922</v>
      </c>
      <c r="T130" s="88"/>
      <c r="U130" s="88"/>
      <c r="V130" s="90" t="s">
        <v>32</v>
      </c>
      <c r="W130" s="90">
        <v>1</v>
      </c>
      <c r="X130" s="90" t="s">
        <v>118</v>
      </c>
      <c r="Y130" s="91">
        <v>45901</v>
      </c>
      <c r="Z130" s="91">
        <v>46081</v>
      </c>
      <c r="AA130" s="88"/>
      <c r="AB130" s="88"/>
      <c r="AC130" s="92">
        <v>45922.598611111112</v>
      </c>
    </row>
    <row r="131" spans="1:29" customFormat="1" ht="16" x14ac:dyDescent="0.2">
      <c r="A131" s="90" t="s">
        <v>1</v>
      </c>
      <c r="B131" s="90" t="s">
        <v>1270</v>
      </c>
      <c r="C131" s="90" t="s">
        <v>1271</v>
      </c>
      <c r="D131" s="91">
        <v>28855</v>
      </c>
      <c r="E131" s="90">
        <v>47</v>
      </c>
      <c r="F131" s="90" t="s">
        <v>11</v>
      </c>
      <c r="G131" s="90" t="s">
        <v>10</v>
      </c>
      <c r="H131" s="90" t="s">
        <v>10</v>
      </c>
      <c r="I131" s="91">
        <v>44867</v>
      </c>
      <c r="J131" s="90" t="s">
        <v>371</v>
      </c>
      <c r="K131" s="90" t="s">
        <v>372</v>
      </c>
      <c r="L131" s="90" t="s">
        <v>3</v>
      </c>
      <c r="M131" s="90" t="s">
        <v>6</v>
      </c>
      <c r="N131" s="90" t="s">
        <v>119</v>
      </c>
      <c r="O131" s="91">
        <v>45845</v>
      </c>
      <c r="P131" s="91">
        <v>45845</v>
      </c>
      <c r="Q131" s="91">
        <v>45855</v>
      </c>
      <c r="R131" s="91">
        <v>45896</v>
      </c>
      <c r="S131" s="91">
        <v>45896</v>
      </c>
      <c r="T131" s="88"/>
      <c r="U131" s="88"/>
      <c r="V131" s="90" t="s">
        <v>32</v>
      </c>
      <c r="W131" s="90">
        <v>1</v>
      </c>
      <c r="X131" s="90" t="s">
        <v>118</v>
      </c>
      <c r="Y131" s="91">
        <v>45870</v>
      </c>
      <c r="Z131" s="91">
        <v>46053</v>
      </c>
      <c r="AA131" s="88"/>
      <c r="AB131" s="88"/>
      <c r="AC131" s="92">
        <v>45896.493055555555</v>
      </c>
    </row>
    <row r="132" spans="1:29" customFormat="1" ht="16" x14ac:dyDescent="0.2">
      <c r="A132" s="90" t="s">
        <v>1</v>
      </c>
      <c r="B132" s="90" t="s">
        <v>122</v>
      </c>
      <c r="C132" s="90" t="s">
        <v>1272</v>
      </c>
      <c r="D132" s="91">
        <v>25098</v>
      </c>
      <c r="E132" s="90">
        <v>57</v>
      </c>
      <c r="F132" s="90" t="s">
        <v>10</v>
      </c>
      <c r="G132" s="90" t="s">
        <v>10</v>
      </c>
      <c r="H132" s="90" t="s">
        <v>10</v>
      </c>
      <c r="I132" s="91">
        <v>45597</v>
      </c>
      <c r="J132" s="90" t="s">
        <v>583</v>
      </c>
      <c r="K132" s="90" t="s">
        <v>332</v>
      </c>
      <c r="L132" s="90" t="s">
        <v>3</v>
      </c>
      <c r="M132" s="90" t="s">
        <v>6</v>
      </c>
      <c r="N132" s="90" t="s">
        <v>120</v>
      </c>
      <c r="O132" s="91">
        <v>45842</v>
      </c>
      <c r="P132" s="91">
        <v>45845</v>
      </c>
      <c r="Q132" s="91">
        <v>45845</v>
      </c>
      <c r="R132" s="91">
        <v>45889</v>
      </c>
      <c r="S132" s="91">
        <v>45889</v>
      </c>
      <c r="T132" s="88"/>
      <c r="U132" s="88"/>
      <c r="V132" s="90" t="s">
        <v>32</v>
      </c>
      <c r="W132" s="90">
        <v>1</v>
      </c>
      <c r="X132" s="90" t="s">
        <v>118</v>
      </c>
      <c r="Y132" s="91">
        <v>45870</v>
      </c>
      <c r="Z132" s="91">
        <v>46053</v>
      </c>
      <c r="AA132" s="88"/>
      <c r="AB132" s="88"/>
      <c r="AC132" s="92">
        <v>45889.491666666669</v>
      </c>
    </row>
    <row r="133" spans="1:29" customFormat="1" ht="16" x14ac:dyDescent="0.2">
      <c r="A133" s="90" t="s">
        <v>1</v>
      </c>
      <c r="B133" s="90" t="s">
        <v>1284</v>
      </c>
      <c r="C133" s="90" t="s">
        <v>1285</v>
      </c>
      <c r="D133" s="91">
        <v>27800</v>
      </c>
      <c r="E133" s="90">
        <v>49</v>
      </c>
      <c r="F133" s="90" t="s">
        <v>10</v>
      </c>
      <c r="G133" s="90" t="s">
        <v>10</v>
      </c>
      <c r="H133" s="90" t="s">
        <v>10</v>
      </c>
      <c r="I133" s="91">
        <v>43313</v>
      </c>
      <c r="J133" s="90" t="s">
        <v>1279</v>
      </c>
      <c r="K133" s="90" t="s">
        <v>1280</v>
      </c>
      <c r="L133" s="90" t="s">
        <v>7</v>
      </c>
      <c r="M133" s="90" t="s">
        <v>1281</v>
      </c>
      <c r="N133" s="90" t="s">
        <v>119</v>
      </c>
      <c r="O133" s="91">
        <v>45841</v>
      </c>
      <c r="P133" s="91">
        <v>45867</v>
      </c>
      <c r="Q133" s="91">
        <v>45867</v>
      </c>
      <c r="R133" s="91">
        <v>45876</v>
      </c>
      <c r="S133" s="91">
        <v>45876</v>
      </c>
      <c r="T133" s="88"/>
      <c r="U133" s="88"/>
      <c r="V133" s="90" t="s">
        <v>32</v>
      </c>
      <c r="W133" s="90">
        <v>1</v>
      </c>
      <c r="X133" s="90" t="s">
        <v>228</v>
      </c>
      <c r="Y133" s="91">
        <v>45870</v>
      </c>
      <c r="Z133" s="91">
        <v>46053</v>
      </c>
      <c r="AA133" s="88"/>
      <c r="AB133" s="88"/>
      <c r="AC133" s="92">
        <v>45897.505555555559</v>
      </c>
    </row>
    <row r="134" spans="1:29" customFormat="1" ht="16" x14ac:dyDescent="0.2">
      <c r="A134" s="90" t="s">
        <v>1</v>
      </c>
      <c r="B134" s="90" t="s">
        <v>1282</v>
      </c>
      <c r="C134" s="90" t="s">
        <v>1283</v>
      </c>
      <c r="D134" s="91">
        <v>30632</v>
      </c>
      <c r="E134" s="90">
        <v>42</v>
      </c>
      <c r="F134" s="90" t="s">
        <v>11</v>
      </c>
      <c r="G134" s="90" t="s">
        <v>10</v>
      </c>
      <c r="H134" s="90" t="s">
        <v>10</v>
      </c>
      <c r="I134" s="91">
        <v>43374</v>
      </c>
      <c r="J134" s="90" t="s">
        <v>1040</v>
      </c>
      <c r="K134" s="90" t="s">
        <v>1041</v>
      </c>
      <c r="L134" s="90" t="s">
        <v>3</v>
      </c>
      <c r="M134" s="90" t="s">
        <v>396</v>
      </c>
      <c r="N134" s="90" t="s">
        <v>119</v>
      </c>
      <c r="O134" s="91">
        <v>45841</v>
      </c>
      <c r="P134" s="91">
        <v>45845</v>
      </c>
      <c r="Q134" s="91">
        <v>45859</v>
      </c>
      <c r="R134" s="91">
        <v>45875</v>
      </c>
      <c r="S134" s="91">
        <v>45875</v>
      </c>
      <c r="T134" s="88"/>
      <c r="U134" s="88"/>
      <c r="V134" s="90" t="s">
        <v>32</v>
      </c>
      <c r="W134" s="90">
        <v>1</v>
      </c>
      <c r="X134" s="90" t="s">
        <v>118</v>
      </c>
      <c r="Y134" s="91">
        <v>45870</v>
      </c>
      <c r="Z134" s="91">
        <v>46053</v>
      </c>
      <c r="AA134" s="88"/>
      <c r="AB134" s="88"/>
      <c r="AC134" s="92">
        <v>45875.636111111111</v>
      </c>
    </row>
    <row r="135" spans="1:29" customFormat="1" ht="16" x14ac:dyDescent="0.2">
      <c r="A135" s="90" t="s">
        <v>0</v>
      </c>
      <c r="B135" s="90" t="s">
        <v>153</v>
      </c>
      <c r="C135" s="90" t="s">
        <v>1273</v>
      </c>
      <c r="D135" s="91">
        <v>35185</v>
      </c>
      <c r="E135" s="90">
        <v>29</v>
      </c>
      <c r="F135" s="90" t="s">
        <v>10</v>
      </c>
      <c r="G135" s="90" t="s">
        <v>10</v>
      </c>
      <c r="H135" s="90" t="s">
        <v>10</v>
      </c>
      <c r="I135" s="91">
        <v>44501</v>
      </c>
      <c r="J135" s="90" t="s">
        <v>1274</v>
      </c>
      <c r="K135" s="90" t="s">
        <v>1275</v>
      </c>
      <c r="L135" s="90" t="s">
        <v>5</v>
      </c>
      <c r="M135" s="90" t="s">
        <v>6</v>
      </c>
      <c r="N135" s="90" t="s">
        <v>119</v>
      </c>
      <c r="O135" s="91">
        <v>45841</v>
      </c>
      <c r="P135" s="91">
        <v>45842</v>
      </c>
      <c r="Q135" s="91">
        <v>45845</v>
      </c>
      <c r="R135" s="91">
        <v>45861</v>
      </c>
      <c r="S135" s="91">
        <v>45861</v>
      </c>
      <c r="T135" s="88"/>
      <c r="U135" s="88"/>
      <c r="V135" s="90" t="s">
        <v>32</v>
      </c>
      <c r="W135" s="90">
        <v>1</v>
      </c>
      <c r="X135" s="90" t="s">
        <v>125</v>
      </c>
      <c r="Y135" s="91">
        <v>45839</v>
      </c>
      <c r="Z135" s="91">
        <v>46022</v>
      </c>
      <c r="AA135" s="88"/>
      <c r="AB135" s="88"/>
      <c r="AC135" s="92">
        <v>45861.594444444447</v>
      </c>
    </row>
    <row r="136" spans="1:29" customFormat="1" ht="16" x14ac:dyDescent="0.2">
      <c r="A136" s="90" t="s">
        <v>0</v>
      </c>
      <c r="B136" s="90" t="s">
        <v>1278</v>
      </c>
      <c r="C136" s="90" t="s">
        <v>1128</v>
      </c>
      <c r="D136" s="91">
        <v>23742</v>
      </c>
      <c r="E136" s="90">
        <v>61</v>
      </c>
      <c r="F136" s="90" t="s">
        <v>11</v>
      </c>
      <c r="G136" s="88"/>
      <c r="H136" s="90" t="s">
        <v>10</v>
      </c>
      <c r="I136" s="91">
        <v>41640</v>
      </c>
      <c r="J136" s="90" t="s">
        <v>1279</v>
      </c>
      <c r="K136" s="90" t="s">
        <v>1280</v>
      </c>
      <c r="L136" s="90" t="s">
        <v>7</v>
      </c>
      <c r="M136" s="90" t="s">
        <v>1281</v>
      </c>
      <c r="N136" s="90" t="s">
        <v>225</v>
      </c>
      <c r="O136" s="91">
        <v>45841</v>
      </c>
      <c r="P136" s="91">
        <v>45905</v>
      </c>
      <c r="Q136" s="91">
        <v>45905</v>
      </c>
      <c r="R136" s="91">
        <v>45908</v>
      </c>
      <c r="S136" s="91">
        <v>45909</v>
      </c>
      <c r="T136" s="88"/>
      <c r="U136" s="88"/>
      <c r="V136" s="90" t="s">
        <v>32</v>
      </c>
      <c r="W136" s="90">
        <v>1</v>
      </c>
      <c r="X136" s="90" t="s">
        <v>708</v>
      </c>
      <c r="Y136" s="91">
        <v>45901</v>
      </c>
      <c r="Z136" s="91">
        <v>46081</v>
      </c>
      <c r="AA136" s="88"/>
      <c r="AB136" s="88"/>
      <c r="AC136" s="92">
        <v>45946.628472222219</v>
      </c>
    </row>
    <row r="137" spans="1:29" customFormat="1" ht="16" x14ac:dyDescent="0.2">
      <c r="A137" s="90" t="s">
        <v>0</v>
      </c>
      <c r="B137" s="90" t="s">
        <v>1276</v>
      </c>
      <c r="C137" s="90" t="s">
        <v>1277</v>
      </c>
      <c r="D137" s="91">
        <v>29024</v>
      </c>
      <c r="E137" s="90">
        <v>46</v>
      </c>
      <c r="F137" s="90" t="s">
        <v>11</v>
      </c>
      <c r="G137" s="90" t="s">
        <v>10</v>
      </c>
      <c r="H137" s="90" t="s">
        <v>10</v>
      </c>
      <c r="I137" s="91">
        <v>44197</v>
      </c>
      <c r="J137" s="90" t="s">
        <v>234</v>
      </c>
      <c r="K137" s="90" t="s">
        <v>354</v>
      </c>
      <c r="L137" s="90" t="s">
        <v>7</v>
      </c>
      <c r="M137" s="90" t="s">
        <v>6</v>
      </c>
      <c r="N137" s="88"/>
      <c r="O137" s="91">
        <v>45841</v>
      </c>
      <c r="P137" s="91">
        <v>45867</v>
      </c>
      <c r="Q137" s="91">
        <v>45867</v>
      </c>
      <c r="R137" s="91">
        <v>45874</v>
      </c>
      <c r="S137" s="88"/>
      <c r="T137" s="91">
        <v>45950</v>
      </c>
      <c r="U137" s="90" t="s">
        <v>712</v>
      </c>
      <c r="V137" s="90" t="s">
        <v>224</v>
      </c>
      <c r="W137" s="90">
        <v>1</v>
      </c>
      <c r="X137" s="90" t="s">
        <v>228</v>
      </c>
      <c r="Y137" s="88"/>
      <c r="Z137" s="88"/>
      <c r="AA137" s="88"/>
      <c r="AB137" s="88"/>
      <c r="AC137" s="92">
        <v>45950.436805555553</v>
      </c>
    </row>
    <row r="138" spans="1:29" customFormat="1" ht="16" x14ac:dyDescent="0.2">
      <c r="A138" s="90" t="s">
        <v>0</v>
      </c>
      <c r="B138" s="90" t="s">
        <v>1286</v>
      </c>
      <c r="C138" s="90" t="s">
        <v>1287</v>
      </c>
      <c r="D138" s="91">
        <v>25801</v>
      </c>
      <c r="E138" s="90">
        <v>55</v>
      </c>
      <c r="F138" s="90" t="s">
        <v>10</v>
      </c>
      <c r="G138" s="90" t="s">
        <v>10</v>
      </c>
      <c r="H138" s="90" t="s">
        <v>10</v>
      </c>
      <c r="I138" s="91">
        <v>45536</v>
      </c>
      <c r="J138" s="90" t="s">
        <v>351</v>
      </c>
      <c r="K138" s="90" t="s">
        <v>111</v>
      </c>
      <c r="L138" s="90" t="s">
        <v>3</v>
      </c>
      <c r="M138" s="90" t="s">
        <v>6</v>
      </c>
      <c r="N138" s="90" t="s">
        <v>119</v>
      </c>
      <c r="O138" s="91">
        <v>45840</v>
      </c>
      <c r="P138" s="91">
        <v>45845</v>
      </c>
      <c r="Q138" s="91">
        <v>45845</v>
      </c>
      <c r="R138" s="91">
        <v>45861</v>
      </c>
      <c r="S138" s="91">
        <v>45861</v>
      </c>
      <c r="T138" s="88"/>
      <c r="U138" s="88"/>
      <c r="V138" s="90" t="s">
        <v>32</v>
      </c>
      <c r="W138" s="90">
        <v>1</v>
      </c>
      <c r="X138" s="90" t="s">
        <v>118</v>
      </c>
      <c r="Y138" s="91">
        <v>45839</v>
      </c>
      <c r="Z138" s="91">
        <v>46022</v>
      </c>
      <c r="AA138" s="88"/>
      <c r="AB138" s="88"/>
      <c r="AC138" s="92">
        <v>45887.410416666666</v>
      </c>
    </row>
    <row r="139" spans="1:29" customFormat="1" ht="16" x14ac:dyDescent="0.2">
      <c r="A139" s="90" t="s">
        <v>1</v>
      </c>
      <c r="B139" s="90" t="s">
        <v>406</v>
      </c>
      <c r="C139" s="90" t="s">
        <v>1288</v>
      </c>
      <c r="D139" s="91">
        <v>21675</v>
      </c>
      <c r="E139" s="90">
        <v>66</v>
      </c>
      <c r="F139" s="90" t="s">
        <v>11</v>
      </c>
      <c r="G139" s="90" t="s">
        <v>11</v>
      </c>
      <c r="H139" s="90" t="s">
        <v>10</v>
      </c>
      <c r="I139" s="91">
        <v>44774</v>
      </c>
      <c r="J139" s="90" t="s">
        <v>35</v>
      </c>
      <c r="K139" s="90" t="s">
        <v>781</v>
      </c>
      <c r="L139" s="90" t="s">
        <v>4</v>
      </c>
      <c r="M139" s="90" t="s">
        <v>6</v>
      </c>
      <c r="N139" s="88"/>
      <c r="O139" s="91">
        <v>45839</v>
      </c>
      <c r="P139" s="88"/>
      <c r="Q139" s="88"/>
      <c r="R139" s="88"/>
      <c r="S139" s="88"/>
      <c r="T139" s="88"/>
      <c r="U139" s="88"/>
      <c r="V139" s="90" t="s">
        <v>227</v>
      </c>
      <c r="W139" s="90">
        <v>0</v>
      </c>
      <c r="X139" s="88"/>
      <c r="Y139" s="88"/>
      <c r="Z139" s="88"/>
      <c r="AA139" s="88"/>
      <c r="AB139" s="88"/>
      <c r="AC139" s="92">
        <v>45854.368055555555</v>
      </c>
    </row>
    <row r="140" spans="1:29" customFormat="1" ht="16" x14ac:dyDescent="0.2">
      <c r="A140" s="90" t="s">
        <v>1</v>
      </c>
      <c r="B140" s="90" t="s">
        <v>1289</v>
      </c>
      <c r="C140" s="90" t="s">
        <v>1290</v>
      </c>
      <c r="D140" s="91">
        <v>31355</v>
      </c>
      <c r="E140" s="90">
        <v>40</v>
      </c>
      <c r="F140" s="90" t="s">
        <v>11</v>
      </c>
      <c r="G140" s="90" t="s">
        <v>10</v>
      </c>
      <c r="H140" s="90" t="s">
        <v>10</v>
      </c>
      <c r="I140" s="91">
        <v>45292</v>
      </c>
      <c r="J140" s="90" t="s">
        <v>401</v>
      </c>
      <c r="K140" s="90" t="s">
        <v>453</v>
      </c>
      <c r="L140" s="90" t="s">
        <v>7</v>
      </c>
      <c r="M140" s="90" t="s">
        <v>6</v>
      </c>
      <c r="N140" s="88"/>
      <c r="O140" s="91">
        <v>45839</v>
      </c>
      <c r="P140" s="91">
        <v>45863</v>
      </c>
      <c r="Q140" s="91">
        <v>45866</v>
      </c>
      <c r="R140" s="91">
        <v>45870</v>
      </c>
      <c r="S140" s="91">
        <v>45870</v>
      </c>
      <c r="T140" s="88"/>
      <c r="U140" s="88"/>
      <c r="V140" s="90" t="s">
        <v>32</v>
      </c>
      <c r="W140" s="90">
        <v>1</v>
      </c>
      <c r="X140" s="90" t="s">
        <v>228</v>
      </c>
      <c r="Y140" s="91">
        <v>45870</v>
      </c>
      <c r="Z140" s="91">
        <v>46053</v>
      </c>
      <c r="AA140" s="88"/>
      <c r="AB140" s="88"/>
      <c r="AC140" s="92">
        <v>45882.729166666664</v>
      </c>
    </row>
    <row r="141" spans="1:29" customFormat="1" ht="16" x14ac:dyDescent="0.2">
      <c r="A141" s="90" t="s">
        <v>1</v>
      </c>
      <c r="B141" s="90" t="s">
        <v>1034</v>
      </c>
      <c r="C141" s="90" t="s">
        <v>1291</v>
      </c>
      <c r="D141" s="91">
        <v>29102</v>
      </c>
      <c r="E141" s="90">
        <v>46</v>
      </c>
      <c r="F141" s="90" t="s">
        <v>10</v>
      </c>
      <c r="G141" s="90" t="s">
        <v>10</v>
      </c>
      <c r="H141" s="90" t="s">
        <v>10</v>
      </c>
      <c r="I141" s="91">
        <v>45689</v>
      </c>
      <c r="J141" s="90" t="s">
        <v>179</v>
      </c>
      <c r="K141" s="90" t="s">
        <v>675</v>
      </c>
      <c r="L141" s="90" t="s">
        <v>4</v>
      </c>
      <c r="M141" s="90" t="s">
        <v>6</v>
      </c>
      <c r="N141" s="90" t="s">
        <v>119</v>
      </c>
      <c r="O141" s="91">
        <v>45839</v>
      </c>
      <c r="P141" s="91">
        <v>45839</v>
      </c>
      <c r="Q141" s="91">
        <v>45866</v>
      </c>
      <c r="R141" s="91">
        <v>45866</v>
      </c>
      <c r="S141" s="91">
        <v>45866</v>
      </c>
      <c r="T141" s="88"/>
      <c r="U141" s="88"/>
      <c r="V141" s="90" t="s">
        <v>32</v>
      </c>
      <c r="W141" s="90">
        <v>1</v>
      </c>
      <c r="X141" s="90" t="s">
        <v>228</v>
      </c>
      <c r="Y141" s="91">
        <v>45839</v>
      </c>
      <c r="Z141" s="91">
        <v>46022</v>
      </c>
      <c r="AA141" s="88"/>
      <c r="AB141" s="88"/>
      <c r="AC141" s="92">
        <v>45866.411111111112</v>
      </c>
    </row>
    <row r="142" spans="1:29" customFormat="1" ht="16" x14ac:dyDescent="0.2">
      <c r="A142" s="90" t="s">
        <v>0</v>
      </c>
      <c r="B142" s="90" t="s">
        <v>282</v>
      </c>
      <c r="C142" s="90" t="s">
        <v>1293</v>
      </c>
      <c r="D142" s="91">
        <v>26391</v>
      </c>
      <c r="E142" s="90">
        <v>53</v>
      </c>
      <c r="F142" s="90" t="s">
        <v>10</v>
      </c>
      <c r="G142" s="90" t="s">
        <v>11</v>
      </c>
      <c r="H142" s="90" t="s">
        <v>11</v>
      </c>
      <c r="I142" s="91">
        <v>43344</v>
      </c>
      <c r="J142" s="90" t="s">
        <v>1057</v>
      </c>
      <c r="K142" s="90" t="s">
        <v>1058</v>
      </c>
      <c r="L142" s="90" t="s">
        <v>7</v>
      </c>
      <c r="M142" s="90" t="s">
        <v>6</v>
      </c>
      <c r="N142" s="88"/>
      <c r="O142" s="91">
        <v>45838</v>
      </c>
      <c r="P142" s="91">
        <v>45867</v>
      </c>
      <c r="Q142" s="91">
        <v>45896</v>
      </c>
      <c r="R142" s="91">
        <v>45896</v>
      </c>
      <c r="S142" s="91">
        <v>45896</v>
      </c>
      <c r="T142" s="91">
        <v>45896</v>
      </c>
      <c r="U142" s="90" t="s">
        <v>319</v>
      </c>
      <c r="V142" s="90" t="s">
        <v>224</v>
      </c>
      <c r="W142" s="90">
        <v>1</v>
      </c>
      <c r="X142" s="90" t="s">
        <v>708</v>
      </c>
      <c r="Y142" s="88"/>
      <c r="Z142" s="88"/>
      <c r="AA142" s="88"/>
      <c r="AB142" s="88"/>
      <c r="AC142" s="92">
        <v>45896.489583333336</v>
      </c>
    </row>
    <row r="143" spans="1:29" customFormat="1" ht="16" x14ac:dyDescent="0.2">
      <c r="A143" s="90" t="s">
        <v>0</v>
      </c>
      <c r="B143" s="90" t="s">
        <v>1242</v>
      </c>
      <c r="C143" s="90" t="s">
        <v>1292</v>
      </c>
      <c r="D143" s="91">
        <v>32606</v>
      </c>
      <c r="E143" s="90">
        <v>36</v>
      </c>
      <c r="F143" s="90" t="s">
        <v>11</v>
      </c>
      <c r="G143" s="90" t="s">
        <v>10</v>
      </c>
      <c r="H143" s="90" t="s">
        <v>10</v>
      </c>
      <c r="I143" s="91">
        <v>45444</v>
      </c>
      <c r="J143" s="90" t="s">
        <v>409</v>
      </c>
      <c r="K143" s="90" t="s">
        <v>959</v>
      </c>
      <c r="L143" s="90" t="s">
        <v>7</v>
      </c>
      <c r="M143" s="90" t="s">
        <v>6</v>
      </c>
      <c r="N143" s="90" t="s">
        <v>124</v>
      </c>
      <c r="O143" s="91">
        <v>45838</v>
      </c>
      <c r="P143" s="91">
        <v>45856</v>
      </c>
      <c r="Q143" s="91">
        <v>45862</v>
      </c>
      <c r="R143" s="91">
        <v>45874</v>
      </c>
      <c r="S143" s="91">
        <v>45874</v>
      </c>
      <c r="T143" s="88"/>
      <c r="U143" s="88"/>
      <c r="V143" s="90" t="s">
        <v>32</v>
      </c>
      <c r="W143" s="90">
        <v>1</v>
      </c>
      <c r="X143" s="90" t="s">
        <v>228</v>
      </c>
      <c r="Y143" s="91">
        <v>45870</v>
      </c>
      <c r="Z143" s="91">
        <v>46053</v>
      </c>
      <c r="AA143" s="88"/>
      <c r="AB143" s="88"/>
      <c r="AC143" s="92">
        <v>45950.421527777777</v>
      </c>
    </row>
    <row r="144" spans="1:29" customFormat="1" ht="16" x14ac:dyDescent="0.2">
      <c r="A144" s="90" t="s">
        <v>0</v>
      </c>
      <c r="B144" s="90" t="s">
        <v>1294</v>
      </c>
      <c r="C144" s="90" t="s">
        <v>1295</v>
      </c>
      <c r="D144" s="91">
        <v>31220</v>
      </c>
      <c r="E144" s="90">
        <v>40</v>
      </c>
      <c r="F144" s="90" t="s">
        <v>11</v>
      </c>
      <c r="G144" s="90" t="s">
        <v>10</v>
      </c>
      <c r="H144" s="90" t="s">
        <v>10</v>
      </c>
      <c r="I144" s="91">
        <v>44562</v>
      </c>
      <c r="J144" s="90" t="s">
        <v>35</v>
      </c>
      <c r="K144" s="90" t="s">
        <v>102</v>
      </c>
      <c r="L144" s="90" t="s">
        <v>5</v>
      </c>
      <c r="M144" s="90" t="s">
        <v>6</v>
      </c>
      <c r="N144" s="90" t="s">
        <v>120</v>
      </c>
      <c r="O144" s="91">
        <v>45835</v>
      </c>
      <c r="P144" s="91">
        <v>45835</v>
      </c>
      <c r="Q144" s="91">
        <v>45854</v>
      </c>
      <c r="R144" s="91">
        <v>45854</v>
      </c>
      <c r="S144" s="91">
        <v>45854</v>
      </c>
      <c r="T144" s="88"/>
      <c r="U144" s="88"/>
      <c r="V144" s="90" t="s">
        <v>32</v>
      </c>
      <c r="W144" s="90">
        <v>1</v>
      </c>
      <c r="X144" s="90" t="s">
        <v>228</v>
      </c>
      <c r="Y144" s="91">
        <v>45839</v>
      </c>
      <c r="Z144" s="91">
        <v>46022</v>
      </c>
      <c r="AA144" s="88"/>
      <c r="AB144" s="88"/>
      <c r="AC144" s="92">
        <v>45889.691666666666</v>
      </c>
    </row>
    <row r="145" spans="1:29" customFormat="1" ht="16" x14ac:dyDescent="0.2">
      <c r="A145" s="90" t="s">
        <v>1</v>
      </c>
      <c r="B145" s="90" t="s">
        <v>1034</v>
      </c>
      <c r="C145" s="90" t="s">
        <v>1035</v>
      </c>
      <c r="D145" s="91">
        <v>27478</v>
      </c>
      <c r="E145" s="90">
        <v>50</v>
      </c>
      <c r="F145" s="88"/>
      <c r="G145" s="90" t="s">
        <v>10</v>
      </c>
      <c r="H145" s="90" t="s">
        <v>10</v>
      </c>
      <c r="I145" s="91">
        <v>41275</v>
      </c>
      <c r="J145" s="90" t="s">
        <v>275</v>
      </c>
      <c r="K145" s="90" t="s">
        <v>115</v>
      </c>
      <c r="L145" s="90" t="s">
        <v>4</v>
      </c>
      <c r="M145" s="90" t="s">
        <v>6</v>
      </c>
      <c r="N145" s="88"/>
      <c r="O145" s="91">
        <v>45835</v>
      </c>
      <c r="P145" s="91">
        <v>45846</v>
      </c>
      <c r="Q145" s="91">
        <v>45887</v>
      </c>
      <c r="R145" s="91">
        <v>45936</v>
      </c>
      <c r="S145" s="88"/>
      <c r="T145" s="91">
        <v>45941</v>
      </c>
      <c r="U145" s="90" t="s">
        <v>712</v>
      </c>
      <c r="V145" s="90" t="s">
        <v>224</v>
      </c>
      <c r="W145" s="90">
        <v>0</v>
      </c>
      <c r="X145" s="88"/>
      <c r="Y145" s="88"/>
      <c r="Z145" s="88"/>
      <c r="AA145" s="88"/>
      <c r="AB145" s="88"/>
      <c r="AC145" s="92">
        <v>45941.718055555553</v>
      </c>
    </row>
    <row r="146" spans="1:29" customFormat="1" ht="16" x14ac:dyDescent="0.2">
      <c r="A146" s="90" t="s">
        <v>1</v>
      </c>
      <c r="B146" s="90" t="s">
        <v>1261</v>
      </c>
      <c r="C146" s="90" t="s">
        <v>1354</v>
      </c>
      <c r="D146" s="91">
        <v>22405</v>
      </c>
      <c r="E146" s="90">
        <v>64</v>
      </c>
      <c r="F146" s="90" t="s">
        <v>11</v>
      </c>
      <c r="G146" s="90" t="s">
        <v>10</v>
      </c>
      <c r="H146" s="90" t="s">
        <v>10</v>
      </c>
      <c r="I146" s="91">
        <v>45717</v>
      </c>
      <c r="J146" s="90" t="s">
        <v>909</v>
      </c>
      <c r="K146" s="90" t="s">
        <v>447</v>
      </c>
      <c r="L146" s="90" t="s">
        <v>7</v>
      </c>
      <c r="M146" s="90" t="s">
        <v>396</v>
      </c>
      <c r="N146" s="88"/>
      <c r="O146" s="91">
        <v>45834</v>
      </c>
      <c r="P146" s="91">
        <v>45867</v>
      </c>
      <c r="Q146" s="91">
        <v>45875</v>
      </c>
      <c r="R146" s="91">
        <v>45887</v>
      </c>
      <c r="S146" s="91">
        <v>45875</v>
      </c>
      <c r="T146" s="91">
        <v>45875</v>
      </c>
      <c r="U146" s="90" t="s">
        <v>712</v>
      </c>
      <c r="V146" s="90" t="s">
        <v>224</v>
      </c>
      <c r="W146" s="90">
        <v>0</v>
      </c>
      <c r="X146" s="88"/>
      <c r="Y146" s="88"/>
      <c r="Z146" s="88"/>
      <c r="AA146" s="88"/>
      <c r="AB146" s="88"/>
      <c r="AC146" s="92">
        <v>45887.456250000003</v>
      </c>
    </row>
    <row r="147" spans="1:29" customFormat="1" ht="16" x14ac:dyDescent="0.2">
      <c r="A147" s="90" t="s">
        <v>1</v>
      </c>
      <c r="B147" s="90" t="s">
        <v>1296</v>
      </c>
      <c r="C147" s="90" t="s">
        <v>1297</v>
      </c>
      <c r="D147" s="91">
        <v>28869</v>
      </c>
      <c r="E147" s="90">
        <v>46</v>
      </c>
      <c r="F147" s="90" t="s">
        <v>11</v>
      </c>
      <c r="G147" s="90" t="s">
        <v>10</v>
      </c>
      <c r="H147" s="90" t="s">
        <v>10</v>
      </c>
      <c r="I147" s="91">
        <v>45383</v>
      </c>
      <c r="J147" s="90" t="s">
        <v>161</v>
      </c>
      <c r="K147" s="90" t="s">
        <v>208</v>
      </c>
      <c r="L147" s="90" t="s">
        <v>7</v>
      </c>
      <c r="M147" s="90" t="s">
        <v>6</v>
      </c>
      <c r="N147" s="88"/>
      <c r="O147" s="91">
        <v>45834</v>
      </c>
      <c r="P147" s="91">
        <v>45838</v>
      </c>
      <c r="Q147" s="91">
        <v>45860</v>
      </c>
      <c r="R147" s="91">
        <v>45860</v>
      </c>
      <c r="S147" s="91">
        <v>45860</v>
      </c>
      <c r="T147" s="88"/>
      <c r="U147" s="90" t="s">
        <v>319</v>
      </c>
      <c r="V147" s="90" t="s">
        <v>32</v>
      </c>
      <c r="W147" s="90">
        <v>1</v>
      </c>
      <c r="X147" s="90" t="s">
        <v>228</v>
      </c>
      <c r="Y147" s="91">
        <v>45839</v>
      </c>
      <c r="Z147" s="91">
        <v>46022</v>
      </c>
      <c r="AA147" s="88"/>
      <c r="AB147" s="88"/>
      <c r="AC147" s="92">
        <v>45916.662499999999</v>
      </c>
    </row>
    <row r="148" spans="1:29" customFormat="1" ht="16" x14ac:dyDescent="0.2">
      <c r="A148" s="90" t="s">
        <v>1</v>
      </c>
      <c r="B148" s="90" t="s">
        <v>1298</v>
      </c>
      <c r="C148" s="90" t="s">
        <v>1299</v>
      </c>
      <c r="D148" s="91">
        <v>32884</v>
      </c>
      <c r="E148" s="90">
        <v>35</v>
      </c>
      <c r="F148" s="90" t="s">
        <v>11</v>
      </c>
      <c r="G148" s="90" t="s">
        <v>10</v>
      </c>
      <c r="H148" s="90" t="s">
        <v>10</v>
      </c>
      <c r="I148" s="91">
        <v>45383</v>
      </c>
      <c r="J148" s="90" t="s">
        <v>409</v>
      </c>
      <c r="K148" s="90" t="s">
        <v>959</v>
      </c>
      <c r="L148" s="90" t="s">
        <v>7</v>
      </c>
      <c r="M148" s="90" t="s">
        <v>6</v>
      </c>
      <c r="N148" s="90" t="s">
        <v>119</v>
      </c>
      <c r="O148" s="91">
        <v>45833</v>
      </c>
      <c r="P148" s="91">
        <v>45838</v>
      </c>
      <c r="Q148" s="91">
        <v>45846</v>
      </c>
      <c r="R148" s="91">
        <v>45846</v>
      </c>
      <c r="S148" s="91">
        <v>45846</v>
      </c>
      <c r="T148" s="88"/>
      <c r="U148" s="88"/>
      <c r="V148" s="90" t="s">
        <v>32</v>
      </c>
      <c r="W148" s="90">
        <v>1</v>
      </c>
      <c r="X148" s="90" t="s">
        <v>228</v>
      </c>
      <c r="Y148" s="91">
        <v>45839</v>
      </c>
      <c r="Z148" s="91">
        <v>46022</v>
      </c>
      <c r="AA148" s="88"/>
      <c r="AB148" s="88"/>
      <c r="AC148" s="92">
        <v>45954.70416666667</v>
      </c>
    </row>
    <row r="149" spans="1:29" customFormat="1" ht="16" x14ac:dyDescent="0.2">
      <c r="A149" s="90" t="s">
        <v>1</v>
      </c>
      <c r="B149" s="90" t="s">
        <v>1300</v>
      </c>
      <c r="C149" s="90" t="s">
        <v>1301</v>
      </c>
      <c r="D149" s="91">
        <v>29887</v>
      </c>
      <c r="E149" s="90">
        <v>44</v>
      </c>
      <c r="F149" s="90" t="s">
        <v>11</v>
      </c>
      <c r="G149" s="90" t="s">
        <v>10</v>
      </c>
      <c r="H149" s="90" t="s">
        <v>10</v>
      </c>
      <c r="I149" s="91">
        <v>45231</v>
      </c>
      <c r="J149" s="90" t="s">
        <v>598</v>
      </c>
      <c r="K149" s="90" t="s">
        <v>599</v>
      </c>
      <c r="L149" s="90" t="s">
        <v>3</v>
      </c>
      <c r="M149" s="90" t="s">
        <v>396</v>
      </c>
      <c r="N149" s="90" t="s">
        <v>119</v>
      </c>
      <c r="O149" s="91">
        <v>45833</v>
      </c>
      <c r="P149" s="91">
        <v>45845</v>
      </c>
      <c r="Q149" s="91">
        <v>45845</v>
      </c>
      <c r="R149" s="91">
        <v>45861</v>
      </c>
      <c r="S149" s="91">
        <v>45861</v>
      </c>
      <c r="T149" s="88"/>
      <c r="U149" s="88"/>
      <c r="V149" s="90" t="s">
        <v>32</v>
      </c>
      <c r="W149" s="90">
        <v>1</v>
      </c>
      <c r="X149" s="90" t="s">
        <v>118</v>
      </c>
      <c r="Y149" s="91">
        <v>45839</v>
      </c>
      <c r="Z149" s="91">
        <v>46022</v>
      </c>
      <c r="AA149" s="88"/>
      <c r="AB149" s="88"/>
      <c r="AC149" s="92">
        <v>45861.675000000003</v>
      </c>
    </row>
    <row r="150" spans="1:29" customFormat="1" ht="16" x14ac:dyDescent="0.2">
      <c r="A150" s="90" t="s">
        <v>0</v>
      </c>
      <c r="B150" s="90" t="s">
        <v>1302</v>
      </c>
      <c r="C150" s="90" t="s">
        <v>1303</v>
      </c>
      <c r="D150" s="91">
        <v>26796</v>
      </c>
      <c r="E150" s="90">
        <v>52</v>
      </c>
      <c r="F150" s="90" t="s">
        <v>10</v>
      </c>
      <c r="G150" s="90" t="s">
        <v>11</v>
      </c>
      <c r="H150" s="90" t="s">
        <v>10</v>
      </c>
      <c r="I150" s="91">
        <v>45352</v>
      </c>
      <c r="J150" s="90" t="s">
        <v>287</v>
      </c>
      <c r="K150" s="90" t="s">
        <v>1304</v>
      </c>
      <c r="L150" s="90" t="s">
        <v>7</v>
      </c>
      <c r="M150" s="90" t="s">
        <v>1281</v>
      </c>
      <c r="N150" s="88"/>
      <c r="O150" s="91">
        <v>45832</v>
      </c>
      <c r="P150" s="91">
        <v>45833</v>
      </c>
      <c r="Q150" s="91">
        <v>45841</v>
      </c>
      <c r="R150" s="91">
        <v>45841</v>
      </c>
      <c r="S150" s="91">
        <v>45841</v>
      </c>
      <c r="T150" s="88"/>
      <c r="U150" s="88"/>
      <c r="V150" s="90" t="s">
        <v>32</v>
      </c>
      <c r="W150" s="90">
        <v>2</v>
      </c>
      <c r="X150" s="90" t="s">
        <v>228</v>
      </c>
      <c r="Y150" s="91">
        <v>45839</v>
      </c>
      <c r="Z150" s="91">
        <v>46022</v>
      </c>
      <c r="AA150" s="88"/>
      <c r="AB150" s="88"/>
      <c r="AC150" s="92">
        <v>45859.466666666667</v>
      </c>
    </row>
    <row r="151" spans="1:29" customFormat="1" ht="16" x14ac:dyDescent="0.2">
      <c r="A151" s="90" t="s">
        <v>0</v>
      </c>
      <c r="B151" s="90" t="s">
        <v>1307</v>
      </c>
      <c r="C151" s="90" t="s">
        <v>756</v>
      </c>
      <c r="D151" s="91">
        <v>34464</v>
      </c>
      <c r="E151" s="90">
        <v>31</v>
      </c>
      <c r="F151" s="90" t="s">
        <v>10</v>
      </c>
      <c r="G151" s="90" t="s">
        <v>11</v>
      </c>
      <c r="H151" s="90" t="s">
        <v>10</v>
      </c>
      <c r="I151" s="91">
        <v>41699</v>
      </c>
      <c r="J151" s="90" t="s">
        <v>745</v>
      </c>
      <c r="K151" s="90" t="s">
        <v>746</v>
      </c>
      <c r="L151" s="90" t="s">
        <v>3</v>
      </c>
      <c r="M151" s="90" t="s">
        <v>6</v>
      </c>
      <c r="N151" s="90" t="s">
        <v>119</v>
      </c>
      <c r="O151" s="91">
        <v>45832</v>
      </c>
      <c r="P151" s="91">
        <v>45845</v>
      </c>
      <c r="Q151" s="91">
        <v>45916</v>
      </c>
      <c r="R151" s="91">
        <v>45951</v>
      </c>
      <c r="S151" s="91">
        <v>45916</v>
      </c>
      <c r="T151" s="88"/>
      <c r="U151" s="88"/>
      <c r="V151" s="90" t="s">
        <v>32</v>
      </c>
      <c r="W151" s="90">
        <v>1</v>
      </c>
      <c r="X151" s="90" t="s">
        <v>118</v>
      </c>
      <c r="Y151" s="91">
        <v>45901</v>
      </c>
      <c r="Z151" s="91">
        <v>46081</v>
      </c>
      <c r="AA151" s="88"/>
      <c r="AB151" s="88"/>
      <c r="AC151" s="92">
        <v>45939.575694444444</v>
      </c>
    </row>
    <row r="152" spans="1:29" customFormat="1" ht="16" x14ac:dyDescent="0.2">
      <c r="A152" s="90" t="s">
        <v>1</v>
      </c>
      <c r="B152" s="90" t="s">
        <v>1115</v>
      </c>
      <c r="C152" s="90" t="s">
        <v>1306</v>
      </c>
      <c r="D152" s="91">
        <v>26954</v>
      </c>
      <c r="E152" s="90">
        <v>52</v>
      </c>
      <c r="F152" s="90" t="s">
        <v>11</v>
      </c>
      <c r="G152" s="90" t="s">
        <v>10</v>
      </c>
      <c r="H152" s="90" t="s">
        <v>10</v>
      </c>
      <c r="I152" s="91">
        <v>45384</v>
      </c>
      <c r="J152" s="90" t="s">
        <v>1040</v>
      </c>
      <c r="K152" s="90" t="s">
        <v>1041</v>
      </c>
      <c r="L152" s="90" t="s">
        <v>3</v>
      </c>
      <c r="M152" s="90" t="s">
        <v>396</v>
      </c>
      <c r="N152" s="90" t="s">
        <v>119</v>
      </c>
      <c r="O152" s="91">
        <v>45832</v>
      </c>
      <c r="P152" s="91">
        <v>45845</v>
      </c>
      <c r="Q152" s="91">
        <v>45845</v>
      </c>
      <c r="R152" s="91">
        <v>45861</v>
      </c>
      <c r="S152" s="91">
        <v>45895</v>
      </c>
      <c r="T152" s="88"/>
      <c r="U152" s="88"/>
      <c r="V152" s="90" t="s">
        <v>32</v>
      </c>
      <c r="W152" s="90">
        <v>2</v>
      </c>
      <c r="X152" s="90" t="s">
        <v>228</v>
      </c>
      <c r="Y152" s="91">
        <v>45870</v>
      </c>
      <c r="Z152" s="91">
        <v>46053</v>
      </c>
      <c r="AA152" s="88"/>
      <c r="AB152" s="88"/>
      <c r="AC152" s="92">
        <v>45895.475694444445</v>
      </c>
    </row>
    <row r="153" spans="1:29" customFormat="1" ht="16" x14ac:dyDescent="0.2">
      <c r="A153" s="90" t="s">
        <v>1</v>
      </c>
      <c r="B153" s="90" t="s">
        <v>996</v>
      </c>
      <c r="C153" s="90" t="s">
        <v>1305</v>
      </c>
      <c r="D153" s="91">
        <v>24708</v>
      </c>
      <c r="E153" s="90">
        <v>58</v>
      </c>
      <c r="F153" s="90" t="s">
        <v>11</v>
      </c>
      <c r="G153" s="90" t="s">
        <v>11</v>
      </c>
      <c r="H153" s="90" t="s">
        <v>10</v>
      </c>
      <c r="I153" s="91">
        <v>45444</v>
      </c>
      <c r="J153" s="90" t="s">
        <v>241</v>
      </c>
      <c r="K153" s="90" t="s">
        <v>1122</v>
      </c>
      <c r="L153" s="90" t="s">
        <v>7</v>
      </c>
      <c r="M153" s="90" t="s">
        <v>6</v>
      </c>
      <c r="N153" s="90" t="s">
        <v>119</v>
      </c>
      <c r="O153" s="91">
        <v>45832</v>
      </c>
      <c r="P153" s="91">
        <v>45832</v>
      </c>
      <c r="Q153" s="91">
        <v>45859</v>
      </c>
      <c r="R153" s="91">
        <v>45860</v>
      </c>
      <c r="S153" s="91">
        <v>45860</v>
      </c>
      <c r="T153" s="88"/>
      <c r="U153" s="88"/>
      <c r="V153" s="90" t="s">
        <v>32</v>
      </c>
      <c r="W153" s="90">
        <v>1</v>
      </c>
      <c r="X153" s="90" t="s">
        <v>125</v>
      </c>
      <c r="Y153" s="91">
        <v>45839</v>
      </c>
      <c r="Z153" s="91">
        <v>46022</v>
      </c>
      <c r="AA153" s="88"/>
      <c r="AB153" s="88"/>
      <c r="AC153" s="92">
        <v>45860.659722222219</v>
      </c>
    </row>
    <row r="154" spans="1:29" customFormat="1" ht="16" x14ac:dyDescent="0.2">
      <c r="A154" s="90" t="s">
        <v>0</v>
      </c>
      <c r="B154" s="90" t="s">
        <v>1308</v>
      </c>
      <c r="C154" s="90" t="s">
        <v>1309</v>
      </c>
      <c r="D154" s="91">
        <v>24563</v>
      </c>
      <c r="E154" s="90">
        <v>58</v>
      </c>
      <c r="F154" s="90" t="s">
        <v>10</v>
      </c>
      <c r="G154" s="90" t="s">
        <v>11</v>
      </c>
      <c r="H154" s="90" t="s">
        <v>11</v>
      </c>
      <c r="I154" s="91">
        <v>1</v>
      </c>
      <c r="J154" s="90" t="s">
        <v>950</v>
      </c>
      <c r="K154" s="90" t="s">
        <v>951</v>
      </c>
      <c r="L154" s="90" t="s">
        <v>7</v>
      </c>
      <c r="M154" s="90" t="s">
        <v>931</v>
      </c>
      <c r="N154" s="90" t="s">
        <v>1310</v>
      </c>
      <c r="O154" s="91">
        <v>45831</v>
      </c>
      <c r="P154" s="91">
        <v>45833</v>
      </c>
      <c r="Q154" s="91">
        <v>45849</v>
      </c>
      <c r="R154" s="91">
        <v>45849</v>
      </c>
      <c r="S154" s="91">
        <v>45849</v>
      </c>
      <c r="T154" s="91">
        <v>45890</v>
      </c>
      <c r="U154" s="90" t="s">
        <v>319</v>
      </c>
      <c r="V154" s="90" t="s">
        <v>224</v>
      </c>
      <c r="W154" s="90">
        <v>1</v>
      </c>
      <c r="X154" s="90" t="s">
        <v>228</v>
      </c>
      <c r="Y154" s="91">
        <v>45839</v>
      </c>
      <c r="Z154" s="91">
        <v>46022</v>
      </c>
      <c r="AA154" s="91">
        <v>45952</v>
      </c>
      <c r="AB154" s="88"/>
      <c r="AC154" s="92">
        <v>45952.821527777778</v>
      </c>
    </row>
    <row r="155" spans="1:29" customFormat="1" ht="16" x14ac:dyDescent="0.2">
      <c r="A155" s="90" t="s">
        <v>1</v>
      </c>
      <c r="B155" s="90" t="s">
        <v>1311</v>
      </c>
      <c r="C155" s="90" t="s">
        <v>1312</v>
      </c>
      <c r="D155" s="91">
        <v>24680</v>
      </c>
      <c r="E155" s="90">
        <v>58</v>
      </c>
      <c r="F155" s="90" t="s">
        <v>10</v>
      </c>
      <c r="G155" s="90" t="s">
        <v>10</v>
      </c>
      <c r="H155" s="90" t="s">
        <v>10</v>
      </c>
      <c r="I155" s="91">
        <v>37043</v>
      </c>
      <c r="J155" s="90" t="s">
        <v>845</v>
      </c>
      <c r="K155" s="90" t="s">
        <v>846</v>
      </c>
      <c r="L155" s="90" t="s">
        <v>4</v>
      </c>
      <c r="M155" s="90" t="s">
        <v>6</v>
      </c>
      <c r="N155" s="90" t="s">
        <v>225</v>
      </c>
      <c r="O155" s="91">
        <v>45831</v>
      </c>
      <c r="P155" s="91">
        <v>45847</v>
      </c>
      <c r="Q155" s="91">
        <v>45848</v>
      </c>
      <c r="R155" s="88"/>
      <c r="S155" s="91">
        <v>45848</v>
      </c>
      <c r="T155" s="91">
        <v>45848</v>
      </c>
      <c r="U155" s="90" t="s">
        <v>712</v>
      </c>
      <c r="V155" s="90" t="s">
        <v>224</v>
      </c>
      <c r="W155" s="90">
        <v>0</v>
      </c>
      <c r="X155" s="88"/>
      <c r="Y155" s="88"/>
      <c r="Z155" s="88"/>
      <c r="AA155" s="88"/>
      <c r="AB155" s="88"/>
      <c r="AC155" s="92">
        <v>45848.612500000003</v>
      </c>
    </row>
    <row r="156" spans="1:29" customFormat="1" ht="16" x14ac:dyDescent="0.2">
      <c r="A156" s="90" t="s">
        <v>1</v>
      </c>
      <c r="B156" s="90" t="s">
        <v>2</v>
      </c>
      <c r="C156" s="90" t="s">
        <v>1209</v>
      </c>
      <c r="D156" s="91">
        <v>24628</v>
      </c>
      <c r="E156" s="90">
        <v>58</v>
      </c>
      <c r="F156" s="90" t="s">
        <v>10</v>
      </c>
      <c r="G156" s="90" t="s">
        <v>10</v>
      </c>
      <c r="H156" s="90" t="s">
        <v>11</v>
      </c>
      <c r="I156" s="91">
        <v>45658</v>
      </c>
      <c r="J156" s="90" t="s">
        <v>583</v>
      </c>
      <c r="K156" s="90" t="s">
        <v>332</v>
      </c>
      <c r="L156" s="90" t="s">
        <v>3</v>
      </c>
      <c r="M156" s="90" t="s">
        <v>6</v>
      </c>
      <c r="N156" s="90" t="s">
        <v>119</v>
      </c>
      <c r="O156" s="91">
        <v>45828</v>
      </c>
      <c r="P156" s="91">
        <v>45953</v>
      </c>
      <c r="Q156" s="91">
        <v>45838</v>
      </c>
      <c r="R156" s="91">
        <v>45839</v>
      </c>
      <c r="S156" s="91">
        <v>45839</v>
      </c>
      <c r="T156" s="91">
        <v>45922</v>
      </c>
      <c r="U156" s="90" t="s">
        <v>319</v>
      </c>
      <c r="V156" s="90" t="s">
        <v>224</v>
      </c>
      <c r="W156" s="90">
        <v>2</v>
      </c>
      <c r="X156" s="90" t="s">
        <v>228</v>
      </c>
      <c r="Y156" s="91">
        <v>45839</v>
      </c>
      <c r="Z156" s="91">
        <v>46022</v>
      </c>
      <c r="AA156" s="88"/>
      <c r="AB156" s="88"/>
      <c r="AC156" s="92">
        <v>45953.434027777781</v>
      </c>
    </row>
    <row r="157" spans="1:29" customFormat="1" ht="16" x14ac:dyDescent="0.2">
      <c r="A157" s="90" t="s">
        <v>1</v>
      </c>
      <c r="B157" s="90" t="s">
        <v>199</v>
      </c>
      <c r="C157" s="90" t="s">
        <v>1210</v>
      </c>
      <c r="D157" s="91">
        <v>27991</v>
      </c>
      <c r="E157" s="90">
        <v>49</v>
      </c>
      <c r="F157" s="90" t="s">
        <v>10</v>
      </c>
      <c r="G157" s="90" t="s">
        <v>11</v>
      </c>
      <c r="H157" s="90" t="s">
        <v>11</v>
      </c>
      <c r="I157" s="88"/>
      <c r="J157" s="90" t="s">
        <v>485</v>
      </c>
      <c r="K157" s="90" t="s">
        <v>211</v>
      </c>
      <c r="L157" s="90" t="s">
        <v>7</v>
      </c>
      <c r="M157" s="90" t="s">
        <v>6</v>
      </c>
      <c r="N157" s="88"/>
      <c r="O157" s="91">
        <v>45826</v>
      </c>
      <c r="P157" s="88"/>
      <c r="Q157" s="88"/>
      <c r="R157" s="88"/>
      <c r="S157" s="88"/>
      <c r="T157" s="88"/>
      <c r="U157" s="88"/>
      <c r="V157" s="90" t="s">
        <v>227</v>
      </c>
      <c r="W157" s="90">
        <v>0</v>
      </c>
      <c r="X157" s="88"/>
      <c r="Y157" s="88"/>
      <c r="Z157" s="88"/>
      <c r="AA157" s="88"/>
      <c r="AB157" s="88"/>
      <c r="AC157" s="92">
        <v>45838.43472222222</v>
      </c>
    </row>
    <row r="158" spans="1:29" customFormat="1" ht="16" x14ac:dyDescent="0.2">
      <c r="A158" s="90" t="s">
        <v>0</v>
      </c>
      <c r="B158" s="90" t="s">
        <v>1211</v>
      </c>
      <c r="C158" s="90" t="s">
        <v>1212</v>
      </c>
      <c r="D158" s="91">
        <v>34563</v>
      </c>
      <c r="E158" s="90">
        <v>31</v>
      </c>
      <c r="F158" s="90" t="s">
        <v>11</v>
      </c>
      <c r="G158" s="90" t="s">
        <v>10</v>
      </c>
      <c r="H158" s="90" t="s">
        <v>10</v>
      </c>
      <c r="I158" s="91">
        <v>43374</v>
      </c>
      <c r="J158" s="90" t="s">
        <v>909</v>
      </c>
      <c r="K158" s="90" t="s">
        <v>436</v>
      </c>
      <c r="L158" s="90" t="s">
        <v>7</v>
      </c>
      <c r="M158" s="90" t="s">
        <v>396</v>
      </c>
      <c r="N158" s="88"/>
      <c r="O158" s="91">
        <v>45824</v>
      </c>
      <c r="P158" s="91">
        <v>45826</v>
      </c>
      <c r="Q158" s="91">
        <v>45831</v>
      </c>
      <c r="R158" s="91">
        <v>45860</v>
      </c>
      <c r="S158" s="91">
        <v>45860</v>
      </c>
      <c r="T158" s="88"/>
      <c r="U158" s="88"/>
      <c r="V158" s="90" t="s">
        <v>32</v>
      </c>
      <c r="W158" s="90">
        <v>1</v>
      </c>
      <c r="X158" s="90" t="s">
        <v>708</v>
      </c>
      <c r="Y158" s="91">
        <v>45839</v>
      </c>
      <c r="Z158" s="91">
        <v>46022</v>
      </c>
      <c r="AA158" s="88"/>
      <c r="AB158" s="88"/>
      <c r="AC158" s="92">
        <v>45860.680555555555</v>
      </c>
    </row>
    <row r="159" spans="1:29" customFormat="1" ht="16" x14ac:dyDescent="0.2">
      <c r="A159" s="90" t="s">
        <v>1</v>
      </c>
      <c r="B159" s="90" t="s">
        <v>1213</v>
      </c>
      <c r="C159" s="90" t="s">
        <v>1214</v>
      </c>
      <c r="D159" s="91">
        <v>28679</v>
      </c>
      <c r="E159" s="90">
        <v>47</v>
      </c>
      <c r="F159" s="90" t="s">
        <v>11</v>
      </c>
      <c r="G159" s="90" t="s">
        <v>11</v>
      </c>
      <c r="H159" s="90" t="s">
        <v>10</v>
      </c>
      <c r="I159" s="91">
        <v>44958</v>
      </c>
      <c r="J159" s="90" t="s">
        <v>460</v>
      </c>
      <c r="K159" s="90" t="s">
        <v>461</v>
      </c>
      <c r="L159" s="90" t="s">
        <v>7</v>
      </c>
      <c r="M159" s="90" t="s">
        <v>6</v>
      </c>
      <c r="N159" s="88"/>
      <c r="O159" s="91">
        <v>45821</v>
      </c>
      <c r="P159" s="91">
        <v>45826</v>
      </c>
      <c r="Q159" s="88"/>
      <c r="R159" s="88"/>
      <c r="S159" s="91">
        <v>45870</v>
      </c>
      <c r="T159" s="91">
        <v>45870</v>
      </c>
      <c r="U159" s="90" t="s">
        <v>712</v>
      </c>
      <c r="V159" s="90" t="s">
        <v>224</v>
      </c>
      <c r="W159" s="90">
        <v>0</v>
      </c>
      <c r="X159" s="88"/>
      <c r="Y159" s="88"/>
      <c r="Z159" s="88"/>
      <c r="AA159" s="88"/>
      <c r="AB159" s="88"/>
      <c r="AC159" s="92">
        <v>45921.423611111109</v>
      </c>
    </row>
    <row r="160" spans="1:29" customFormat="1" ht="16" x14ac:dyDescent="0.2">
      <c r="A160" s="90" t="s">
        <v>1</v>
      </c>
      <c r="B160" s="90" t="s">
        <v>568</v>
      </c>
      <c r="C160" s="90" t="s">
        <v>1215</v>
      </c>
      <c r="D160" s="91">
        <v>32024</v>
      </c>
      <c r="E160" s="90">
        <v>38</v>
      </c>
      <c r="F160" s="90" t="s">
        <v>11</v>
      </c>
      <c r="G160" s="90" t="s">
        <v>10</v>
      </c>
      <c r="H160" s="90" t="s">
        <v>10</v>
      </c>
      <c r="I160" s="91">
        <v>45444</v>
      </c>
      <c r="J160" s="90" t="s">
        <v>131</v>
      </c>
      <c r="K160" s="90" t="s">
        <v>133</v>
      </c>
      <c r="L160" s="90" t="s">
        <v>3</v>
      </c>
      <c r="M160" s="90" t="s">
        <v>6</v>
      </c>
      <c r="N160" s="88"/>
      <c r="O160" s="91">
        <v>45821</v>
      </c>
      <c r="P160" s="91">
        <v>45824</v>
      </c>
      <c r="Q160" s="91">
        <v>45847</v>
      </c>
      <c r="R160" s="91">
        <v>45847</v>
      </c>
      <c r="S160" s="88"/>
      <c r="T160" s="88"/>
      <c r="U160" s="88"/>
      <c r="V160" s="90" t="s">
        <v>32</v>
      </c>
      <c r="W160" s="90">
        <v>1</v>
      </c>
      <c r="X160" s="90" t="s">
        <v>118</v>
      </c>
      <c r="Y160" s="88"/>
      <c r="Z160" s="88"/>
      <c r="AA160" s="88"/>
      <c r="AB160" s="88"/>
      <c r="AC160" s="92">
        <v>45824.71875</v>
      </c>
    </row>
    <row r="161" spans="1:29" customFormat="1" ht="16" x14ac:dyDescent="0.2">
      <c r="A161" s="90" t="s">
        <v>1</v>
      </c>
      <c r="B161" s="90" t="s">
        <v>1361</v>
      </c>
      <c r="C161" s="90" t="s">
        <v>1362</v>
      </c>
      <c r="D161" s="91">
        <v>28699</v>
      </c>
      <c r="E161" s="90">
        <v>47</v>
      </c>
      <c r="F161" s="90" t="s">
        <v>11</v>
      </c>
      <c r="G161" s="90" t="s">
        <v>10</v>
      </c>
      <c r="H161" s="90" t="s">
        <v>10</v>
      </c>
      <c r="I161" s="91">
        <v>45413</v>
      </c>
      <c r="J161" s="90" t="s">
        <v>257</v>
      </c>
      <c r="K161" s="90" t="s">
        <v>496</v>
      </c>
      <c r="L161" s="90" t="s">
        <v>3</v>
      </c>
      <c r="M161" s="90" t="s">
        <v>6</v>
      </c>
      <c r="N161" s="90" t="s">
        <v>119</v>
      </c>
      <c r="O161" s="91">
        <v>45821</v>
      </c>
      <c r="P161" s="91">
        <v>45824</v>
      </c>
      <c r="Q161" s="91">
        <v>45839</v>
      </c>
      <c r="R161" s="91">
        <v>45839</v>
      </c>
      <c r="S161" s="91">
        <v>45839</v>
      </c>
      <c r="T161" s="88"/>
      <c r="U161" s="88"/>
      <c r="V161" s="90" t="s">
        <v>32</v>
      </c>
      <c r="W161" s="90">
        <v>1</v>
      </c>
      <c r="X161" s="90" t="s">
        <v>118</v>
      </c>
      <c r="Y161" s="91">
        <v>45839</v>
      </c>
      <c r="Z161" s="91">
        <v>46022</v>
      </c>
      <c r="AA161" s="88"/>
      <c r="AB161" s="88"/>
      <c r="AC161" s="92">
        <v>45890.636805555558</v>
      </c>
    </row>
    <row r="162" spans="1:29" customFormat="1" ht="16" x14ac:dyDescent="0.2">
      <c r="A162" s="90" t="s">
        <v>1</v>
      </c>
      <c r="B162" s="90" t="s">
        <v>112</v>
      </c>
      <c r="C162" s="90" t="s">
        <v>1493</v>
      </c>
      <c r="D162" s="91">
        <v>25067</v>
      </c>
      <c r="E162" s="90">
        <v>57</v>
      </c>
      <c r="F162" s="90" t="s">
        <v>10</v>
      </c>
      <c r="G162" s="90" t="s">
        <v>10</v>
      </c>
      <c r="H162" s="90" t="s">
        <v>10</v>
      </c>
      <c r="I162" s="91">
        <v>45200</v>
      </c>
      <c r="J162" s="90" t="s">
        <v>363</v>
      </c>
      <c r="K162" s="90" t="s">
        <v>364</v>
      </c>
      <c r="L162" s="90" t="s">
        <v>7</v>
      </c>
      <c r="M162" s="90" t="s">
        <v>6</v>
      </c>
      <c r="N162" s="88"/>
      <c r="O162" s="91">
        <v>45820</v>
      </c>
      <c r="P162" s="91">
        <v>45826</v>
      </c>
      <c r="Q162" s="91">
        <v>45863</v>
      </c>
      <c r="R162" s="91">
        <v>45863</v>
      </c>
      <c r="S162" s="91">
        <v>45863</v>
      </c>
      <c r="T162" s="91">
        <v>45891</v>
      </c>
      <c r="U162" s="90" t="s">
        <v>1114</v>
      </c>
      <c r="V162" s="90" t="s">
        <v>224</v>
      </c>
      <c r="W162" s="90">
        <v>1</v>
      </c>
      <c r="X162" s="90" t="s">
        <v>228</v>
      </c>
      <c r="Y162" s="91">
        <v>45839</v>
      </c>
      <c r="Z162" s="91">
        <v>46022</v>
      </c>
      <c r="AA162" s="88"/>
      <c r="AB162" s="88"/>
      <c r="AC162" s="92">
        <v>45952.822916666664</v>
      </c>
    </row>
    <row r="163" spans="1:29" customFormat="1" ht="16" x14ac:dyDescent="0.2">
      <c r="A163" s="90" t="s">
        <v>0</v>
      </c>
      <c r="B163" s="90" t="s">
        <v>1216</v>
      </c>
      <c r="C163" s="90" t="s">
        <v>1217</v>
      </c>
      <c r="D163" s="91">
        <v>24650</v>
      </c>
      <c r="E163" s="90">
        <v>58</v>
      </c>
      <c r="F163" s="90" t="s">
        <v>11</v>
      </c>
      <c r="G163" s="90" t="s">
        <v>10</v>
      </c>
      <c r="H163" s="90" t="s">
        <v>10</v>
      </c>
      <c r="I163" s="91">
        <v>39965</v>
      </c>
      <c r="J163" s="90" t="s">
        <v>363</v>
      </c>
      <c r="K163" s="90" t="s">
        <v>364</v>
      </c>
      <c r="L163" s="90" t="s">
        <v>7</v>
      </c>
      <c r="M163" s="90" t="s">
        <v>6</v>
      </c>
      <c r="N163" s="88"/>
      <c r="O163" s="91">
        <v>45820</v>
      </c>
      <c r="P163" s="91">
        <v>45826</v>
      </c>
      <c r="Q163" s="88"/>
      <c r="R163" s="88"/>
      <c r="S163" s="91">
        <v>45870</v>
      </c>
      <c r="T163" s="91">
        <v>45870</v>
      </c>
      <c r="U163" s="90" t="s">
        <v>712</v>
      </c>
      <c r="V163" s="90" t="s">
        <v>224</v>
      </c>
      <c r="W163" s="90">
        <v>0</v>
      </c>
      <c r="X163" s="88"/>
      <c r="Y163" s="88"/>
      <c r="Z163" s="88"/>
      <c r="AA163" s="88"/>
      <c r="AB163" s="88"/>
      <c r="AC163" s="92">
        <v>45921.431250000001</v>
      </c>
    </row>
    <row r="164" spans="1:29" customFormat="1" ht="16" x14ac:dyDescent="0.2">
      <c r="A164" s="90" t="s">
        <v>0</v>
      </c>
      <c r="B164" s="90" t="s">
        <v>378</v>
      </c>
      <c r="C164" s="90" t="s">
        <v>1218</v>
      </c>
      <c r="D164" s="91">
        <v>26179</v>
      </c>
      <c r="E164" s="90">
        <v>54</v>
      </c>
      <c r="F164" s="90" t="s">
        <v>10</v>
      </c>
      <c r="G164" s="90" t="s">
        <v>11</v>
      </c>
      <c r="H164" s="90" t="s">
        <v>10</v>
      </c>
      <c r="I164" s="91">
        <v>42005</v>
      </c>
      <c r="J164" s="90" t="s">
        <v>157</v>
      </c>
      <c r="K164" s="90" t="s">
        <v>158</v>
      </c>
      <c r="L164" s="90" t="s">
        <v>7</v>
      </c>
      <c r="M164" s="90" t="s">
        <v>6</v>
      </c>
      <c r="N164" s="88"/>
      <c r="O164" s="91">
        <v>45820</v>
      </c>
      <c r="P164" s="91">
        <v>45826</v>
      </c>
      <c r="Q164" s="91">
        <v>45845</v>
      </c>
      <c r="R164" s="91">
        <v>45845</v>
      </c>
      <c r="S164" s="91">
        <v>45845</v>
      </c>
      <c r="T164" s="88"/>
      <c r="U164" s="88"/>
      <c r="V164" s="90" t="s">
        <v>32</v>
      </c>
      <c r="W164" s="90">
        <v>2</v>
      </c>
      <c r="X164" s="90" t="s">
        <v>228</v>
      </c>
      <c r="Y164" s="91">
        <v>45839</v>
      </c>
      <c r="Z164" s="91">
        <v>46022</v>
      </c>
      <c r="AA164" s="88"/>
      <c r="AB164" s="88"/>
      <c r="AC164" s="92">
        <v>45845.717361111114</v>
      </c>
    </row>
    <row r="165" spans="1:29" customFormat="1" ht="16" x14ac:dyDescent="0.2">
      <c r="A165" s="90" t="s">
        <v>0</v>
      </c>
      <c r="B165" s="90" t="s">
        <v>424</v>
      </c>
      <c r="C165" s="90" t="s">
        <v>1219</v>
      </c>
      <c r="D165" s="91">
        <v>24860</v>
      </c>
      <c r="E165" s="90">
        <v>57</v>
      </c>
      <c r="F165" s="90" t="s">
        <v>10</v>
      </c>
      <c r="G165" s="90" t="s">
        <v>10</v>
      </c>
      <c r="H165" s="88"/>
      <c r="I165" s="91">
        <v>1</v>
      </c>
      <c r="J165" s="90" t="s">
        <v>950</v>
      </c>
      <c r="K165" s="90" t="s">
        <v>951</v>
      </c>
      <c r="L165" s="90" t="s">
        <v>4</v>
      </c>
      <c r="M165" s="90" t="s">
        <v>931</v>
      </c>
      <c r="N165" s="90" t="s">
        <v>120</v>
      </c>
      <c r="O165" s="91">
        <v>45819</v>
      </c>
      <c r="P165" s="91">
        <v>45821</v>
      </c>
      <c r="Q165" s="91">
        <v>45831</v>
      </c>
      <c r="R165" s="91">
        <v>45853</v>
      </c>
      <c r="S165" s="91">
        <v>45835</v>
      </c>
      <c r="T165" s="91">
        <v>45869</v>
      </c>
      <c r="U165" s="90" t="s">
        <v>1114</v>
      </c>
      <c r="V165" s="90" t="s">
        <v>224</v>
      </c>
      <c r="W165" s="90">
        <v>1</v>
      </c>
      <c r="X165" s="90" t="s">
        <v>125</v>
      </c>
      <c r="Y165" s="88"/>
      <c r="Z165" s="88"/>
      <c r="AA165" s="88"/>
      <c r="AB165" s="88"/>
      <c r="AC165" s="92">
        <v>45952.823611111111</v>
      </c>
    </row>
    <row r="166" spans="1:29" customFormat="1" ht="16" x14ac:dyDescent="0.2">
      <c r="A166" s="90" t="s">
        <v>0</v>
      </c>
      <c r="B166" s="90" t="s">
        <v>1220</v>
      </c>
      <c r="C166" s="90" t="s">
        <v>1221</v>
      </c>
      <c r="D166" s="91">
        <v>26987</v>
      </c>
      <c r="E166" s="90">
        <v>52</v>
      </c>
      <c r="F166" s="90" t="s">
        <v>11</v>
      </c>
      <c r="G166" s="90" t="s">
        <v>10</v>
      </c>
      <c r="H166" s="90" t="s">
        <v>10</v>
      </c>
      <c r="I166" s="91">
        <v>39965</v>
      </c>
      <c r="J166" s="90" t="s">
        <v>566</v>
      </c>
      <c r="K166" s="90" t="s">
        <v>718</v>
      </c>
      <c r="L166" s="90" t="s">
        <v>7</v>
      </c>
      <c r="M166" s="90" t="s">
        <v>6</v>
      </c>
      <c r="N166" s="88"/>
      <c r="O166" s="91">
        <v>45819</v>
      </c>
      <c r="P166" s="91">
        <v>45826</v>
      </c>
      <c r="Q166" s="91">
        <v>45838</v>
      </c>
      <c r="R166" s="91">
        <v>45838</v>
      </c>
      <c r="S166" s="91">
        <v>45849</v>
      </c>
      <c r="T166" s="88"/>
      <c r="U166" s="90" t="s">
        <v>319</v>
      </c>
      <c r="V166" s="90" t="s">
        <v>32</v>
      </c>
      <c r="W166" s="90">
        <v>3</v>
      </c>
      <c r="X166" s="90" t="s">
        <v>228</v>
      </c>
      <c r="Y166" s="91">
        <v>45839</v>
      </c>
      <c r="Z166" s="91">
        <v>46022</v>
      </c>
      <c r="AA166" s="88"/>
      <c r="AB166" s="88"/>
      <c r="AC166" s="92">
        <v>45958.668055555558</v>
      </c>
    </row>
    <row r="167" spans="1:29" customFormat="1" ht="16" x14ac:dyDescent="0.2">
      <c r="A167" s="90" t="s">
        <v>0</v>
      </c>
      <c r="B167" s="90" t="s">
        <v>1222</v>
      </c>
      <c r="C167" s="90" t="s">
        <v>1223</v>
      </c>
      <c r="D167" s="91">
        <v>27227</v>
      </c>
      <c r="E167" s="90">
        <v>51</v>
      </c>
      <c r="F167" s="88"/>
      <c r="G167" s="90" t="s">
        <v>10</v>
      </c>
      <c r="H167" s="90" t="s">
        <v>10</v>
      </c>
      <c r="I167" s="91">
        <v>44835</v>
      </c>
      <c r="J167" s="90" t="s">
        <v>909</v>
      </c>
      <c r="K167" s="90" t="s">
        <v>1062</v>
      </c>
      <c r="L167" s="90" t="s">
        <v>4</v>
      </c>
      <c r="M167" s="90" t="s">
        <v>396</v>
      </c>
      <c r="N167" s="90" t="s">
        <v>119</v>
      </c>
      <c r="O167" s="91">
        <v>45813</v>
      </c>
      <c r="P167" s="91">
        <v>45827</v>
      </c>
      <c r="Q167" s="91">
        <v>45845</v>
      </c>
      <c r="R167" s="91">
        <v>45845</v>
      </c>
      <c r="S167" s="91">
        <v>45845</v>
      </c>
      <c r="T167" s="88"/>
      <c r="U167" s="90" t="s">
        <v>320</v>
      </c>
      <c r="V167" s="90" t="s">
        <v>32</v>
      </c>
      <c r="W167" s="90">
        <v>1</v>
      </c>
      <c r="X167" s="90" t="s">
        <v>228</v>
      </c>
      <c r="Y167" s="91">
        <v>45839</v>
      </c>
      <c r="Z167" s="91">
        <v>46022</v>
      </c>
      <c r="AA167" s="88"/>
      <c r="AB167" s="88"/>
      <c r="AC167" s="92">
        <v>45937.440972222219</v>
      </c>
    </row>
    <row r="168" spans="1:29" customFormat="1" ht="16" x14ac:dyDescent="0.2">
      <c r="A168" s="90" t="s">
        <v>0</v>
      </c>
      <c r="B168" s="90" t="s">
        <v>788</v>
      </c>
      <c r="C168" s="90" t="s">
        <v>1224</v>
      </c>
      <c r="D168" s="91">
        <v>26057</v>
      </c>
      <c r="E168" s="90">
        <v>54</v>
      </c>
      <c r="F168" s="90" t="s">
        <v>11</v>
      </c>
      <c r="G168" s="90" t="s">
        <v>10</v>
      </c>
      <c r="H168" s="90" t="s">
        <v>10</v>
      </c>
      <c r="I168" s="91">
        <v>45200</v>
      </c>
      <c r="J168" s="90" t="s">
        <v>404</v>
      </c>
      <c r="K168" s="90" t="s">
        <v>498</v>
      </c>
      <c r="L168" s="90" t="s">
        <v>5</v>
      </c>
      <c r="M168" s="90" t="s">
        <v>6</v>
      </c>
      <c r="N168" s="90" t="s">
        <v>119</v>
      </c>
      <c r="O168" s="91">
        <v>45813</v>
      </c>
      <c r="P168" s="91">
        <v>45813</v>
      </c>
      <c r="Q168" s="91">
        <v>45826</v>
      </c>
      <c r="R168" s="91">
        <v>45826</v>
      </c>
      <c r="S168" s="91">
        <v>45826</v>
      </c>
      <c r="T168" s="88"/>
      <c r="U168" s="88"/>
      <c r="V168" s="90" t="s">
        <v>32</v>
      </c>
      <c r="W168" s="90">
        <v>1</v>
      </c>
      <c r="X168" s="90" t="s">
        <v>228</v>
      </c>
      <c r="Y168" s="91">
        <v>45809</v>
      </c>
      <c r="Z168" s="91">
        <v>45991</v>
      </c>
      <c r="AA168" s="88"/>
      <c r="AB168" s="88"/>
      <c r="AC168" s="92">
        <v>45831.567361111112</v>
      </c>
    </row>
    <row r="169" spans="1:29" customFormat="1" ht="16" x14ac:dyDescent="0.2">
      <c r="A169" s="90" t="s">
        <v>0</v>
      </c>
      <c r="B169" s="90" t="s">
        <v>1225</v>
      </c>
      <c r="C169" s="90" t="s">
        <v>1226</v>
      </c>
      <c r="D169" s="91">
        <v>36763</v>
      </c>
      <c r="E169" s="90">
        <v>25</v>
      </c>
      <c r="F169" s="90" t="s">
        <v>11</v>
      </c>
      <c r="G169" s="90" t="s">
        <v>10</v>
      </c>
      <c r="H169" s="90" t="s">
        <v>10</v>
      </c>
      <c r="I169" s="91">
        <v>43891</v>
      </c>
      <c r="J169" s="90" t="s">
        <v>1227</v>
      </c>
      <c r="K169" s="90" t="s">
        <v>1228</v>
      </c>
      <c r="L169" s="90" t="s">
        <v>3</v>
      </c>
      <c r="M169" s="90" t="s">
        <v>9</v>
      </c>
      <c r="N169" s="90" t="s">
        <v>119</v>
      </c>
      <c r="O169" s="91">
        <v>45813</v>
      </c>
      <c r="P169" s="91">
        <v>45813</v>
      </c>
      <c r="Q169" s="91">
        <v>45840</v>
      </c>
      <c r="R169" s="91">
        <v>45840</v>
      </c>
      <c r="S169" s="91">
        <v>45840</v>
      </c>
      <c r="T169" s="88"/>
      <c r="U169" s="88"/>
      <c r="V169" s="90" t="s">
        <v>32</v>
      </c>
      <c r="W169" s="90">
        <v>1</v>
      </c>
      <c r="X169" s="90" t="s">
        <v>118</v>
      </c>
      <c r="Y169" s="91">
        <v>45839</v>
      </c>
      <c r="Z169" s="91">
        <v>46022</v>
      </c>
      <c r="AA169" s="88"/>
      <c r="AB169" s="88"/>
      <c r="AC169" s="92">
        <v>45930.775000000001</v>
      </c>
    </row>
    <row r="170" spans="1:29" customFormat="1" ht="16" x14ac:dyDescent="0.2">
      <c r="A170" s="90" t="s">
        <v>0</v>
      </c>
      <c r="B170" s="90" t="s">
        <v>322</v>
      </c>
      <c r="C170" s="90" t="s">
        <v>1118</v>
      </c>
      <c r="D170" s="91">
        <v>25709</v>
      </c>
      <c r="E170" s="90">
        <v>55</v>
      </c>
      <c r="F170" s="90" t="s">
        <v>11</v>
      </c>
      <c r="G170" s="90" t="s">
        <v>11</v>
      </c>
      <c r="H170" s="90" t="s">
        <v>10</v>
      </c>
      <c r="I170" s="91">
        <v>45231</v>
      </c>
      <c r="J170" s="90" t="s">
        <v>1040</v>
      </c>
      <c r="K170" s="90" t="s">
        <v>1041</v>
      </c>
      <c r="L170" s="90" t="s">
        <v>3</v>
      </c>
      <c r="M170" s="90" t="s">
        <v>396</v>
      </c>
      <c r="N170" s="90" t="s">
        <v>117</v>
      </c>
      <c r="O170" s="91">
        <v>45812</v>
      </c>
      <c r="P170" s="91">
        <v>45813</v>
      </c>
      <c r="Q170" s="91">
        <v>45859</v>
      </c>
      <c r="R170" s="91">
        <v>45859</v>
      </c>
      <c r="S170" s="91">
        <v>45859</v>
      </c>
      <c r="T170" s="88"/>
      <c r="U170" s="88"/>
      <c r="V170" s="90" t="s">
        <v>32</v>
      </c>
      <c r="W170" s="90">
        <v>2</v>
      </c>
      <c r="X170" s="90" t="s">
        <v>118</v>
      </c>
      <c r="Y170" s="91">
        <v>45839</v>
      </c>
      <c r="Z170" s="91">
        <v>46022</v>
      </c>
      <c r="AA170" s="88"/>
      <c r="AB170" s="88"/>
      <c r="AC170" s="92">
        <v>45859.604861111111</v>
      </c>
    </row>
    <row r="171" spans="1:29" customFormat="1" ht="16" x14ac:dyDescent="0.2">
      <c r="A171" s="90" t="s">
        <v>0</v>
      </c>
      <c r="B171" s="90" t="s">
        <v>163</v>
      </c>
      <c r="C171" s="90" t="s">
        <v>1119</v>
      </c>
      <c r="D171" s="91">
        <v>24646</v>
      </c>
      <c r="E171" s="90">
        <v>58</v>
      </c>
      <c r="F171" s="90" t="s">
        <v>11</v>
      </c>
      <c r="G171" s="90" t="s">
        <v>10</v>
      </c>
      <c r="H171" s="90" t="s">
        <v>10</v>
      </c>
      <c r="I171" s="91">
        <v>45108</v>
      </c>
      <c r="J171" s="90" t="s">
        <v>558</v>
      </c>
      <c r="K171" s="90" t="s">
        <v>822</v>
      </c>
      <c r="L171" s="90" t="s">
        <v>4</v>
      </c>
      <c r="M171" s="90" t="s">
        <v>6</v>
      </c>
      <c r="N171" s="90" t="s">
        <v>174</v>
      </c>
      <c r="O171" s="91">
        <v>45812</v>
      </c>
      <c r="P171" s="91">
        <v>45827</v>
      </c>
      <c r="Q171" s="91">
        <v>45846</v>
      </c>
      <c r="R171" s="91">
        <v>45863</v>
      </c>
      <c r="S171" s="91">
        <v>45863</v>
      </c>
      <c r="T171" s="88"/>
      <c r="U171" s="90" t="s">
        <v>320</v>
      </c>
      <c r="V171" s="90" t="s">
        <v>32</v>
      </c>
      <c r="W171" s="90">
        <v>1</v>
      </c>
      <c r="X171" s="90" t="s">
        <v>228</v>
      </c>
      <c r="Y171" s="91">
        <v>45839</v>
      </c>
      <c r="Z171" s="91">
        <v>46022</v>
      </c>
      <c r="AA171" s="88"/>
      <c r="AB171" s="88"/>
      <c r="AC171" s="92">
        <v>45954.488888888889</v>
      </c>
    </row>
    <row r="172" spans="1:29" customFormat="1" ht="16" x14ac:dyDescent="0.2">
      <c r="A172" s="90" t="s">
        <v>1</v>
      </c>
      <c r="B172" s="90" t="s">
        <v>384</v>
      </c>
      <c r="C172" s="90" t="s">
        <v>538</v>
      </c>
      <c r="D172" s="91">
        <v>27236</v>
      </c>
      <c r="E172" s="90">
        <v>51</v>
      </c>
      <c r="F172" s="90" t="s">
        <v>11</v>
      </c>
      <c r="G172" s="90" t="s">
        <v>10</v>
      </c>
      <c r="H172" s="90" t="s">
        <v>10</v>
      </c>
      <c r="I172" s="91">
        <v>44378</v>
      </c>
      <c r="J172" s="90" t="s">
        <v>337</v>
      </c>
      <c r="K172" s="90" t="s">
        <v>338</v>
      </c>
      <c r="L172" s="90" t="s">
        <v>3</v>
      </c>
      <c r="M172" s="90" t="s">
        <v>6</v>
      </c>
      <c r="N172" s="88"/>
      <c r="O172" s="91">
        <v>45811</v>
      </c>
      <c r="P172" s="91">
        <v>45814</v>
      </c>
      <c r="Q172" s="91">
        <v>45838</v>
      </c>
      <c r="R172" s="91">
        <v>45838</v>
      </c>
      <c r="S172" s="91">
        <v>45866</v>
      </c>
      <c r="T172" s="91">
        <v>45866</v>
      </c>
      <c r="U172" s="90" t="s">
        <v>712</v>
      </c>
      <c r="V172" s="90" t="s">
        <v>224</v>
      </c>
      <c r="W172" s="90">
        <v>1</v>
      </c>
      <c r="X172" s="90" t="s">
        <v>228</v>
      </c>
      <c r="Y172" s="88"/>
      <c r="Z172" s="88"/>
      <c r="AA172" s="88"/>
      <c r="AB172" s="88"/>
      <c r="AC172" s="92">
        <v>45902.670138888891</v>
      </c>
    </row>
    <row r="173" spans="1:29" customFormat="1" ht="16" x14ac:dyDescent="0.2">
      <c r="A173" s="90" t="s">
        <v>0</v>
      </c>
      <c r="B173" s="90" t="s">
        <v>1120</v>
      </c>
      <c r="C173" s="90" t="s">
        <v>1121</v>
      </c>
      <c r="D173" s="91">
        <v>23779</v>
      </c>
      <c r="E173" s="90">
        <v>60</v>
      </c>
      <c r="F173" s="90" t="s">
        <v>10</v>
      </c>
      <c r="G173" s="90" t="s">
        <v>10</v>
      </c>
      <c r="H173" s="90" t="s">
        <v>10</v>
      </c>
      <c r="I173" s="91">
        <v>44378</v>
      </c>
      <c r="J173" s="90" t="s">
        <v>241</v>
      </c>
      <c r="K173" s="90" t="s">
        <v>1122</v>
      </c>
      <c r="L173" s="90" t="s">
        <v>7</v>
      </c>
      <c r="M173" s="90" t="s">
        <v>6</v>
      </c>
      <c r="N173" s="88"/>
      <c r="O173" s="91">
        <v>45811</v>
      </c>
      <c r="P173" s="91">
        <v>45812</v>
      </c>
      <c r="Q173" s="91">
        <v>45821</v>
      </c>
      <c r="R173" s="91">
        <v>45821</v>
      </c>
      <c r="S173" s="91">
        <v>45821</v>
      </c>
      <c r="T173" s="88"/>
      <c r="U173" s="88"/>
      <c r="V173" s="90" t="s">
        <v>32</v>
      </c>
      <c r="W173" s="90">
        <v>1</v>
      </c>
      <c r="X173" s="90" t="s">
        <v>228</v>
      </c>
      <c r="Y173" s="91">
        <v>45809</v>
      </c>
      <c r="Z173" s="91">
        <v>45991</v>
      </c>
      <c r="AA173" s="88"/>
      <c r="AB173" s="88"/>
      <c r="AC173" s="92">
        <v>45882.805555555555</v>
      </c>
    </row>
    <row r="174" spans="1:29" customFormat="1" ht="16" x14ac:dyDescent="0.2">
      <c r="A174" s="90" t="s">
        <v>1</v>
      </c>
      <c r="B174" s="90" t="s">
        <v>112</v>
      </c>
      <c r="C174" s="90" t="s">
        <v>1123</v>
      </c>
      <c r="D174" s="91">
        <v>27627</v>
      </c>
      <c r="E174" s="90">
        <v>50</v>
      </c>
      <c r="F174" s="90" t="s">
        <v>10</v>
      </c>
      <c r="G174" s="90" t="s">
        <v>10</v>
      </c>
      <c r="H174" s="90" t="s">
        <v>10</v>
      </c>
      <c r="I174" s="91">
        <v>42278</v>
      </c>
      <c r="J174" s="90" t="s">
        <v>1054</v>
      </c>
      <c r="K174" s="90" t="s">
        <v>1055</v>
      </c>
      <c r="L174" s="90" t="s">
        <v>5</v>
      </c>
      <c r="M174" s="90" t="s">
        <v>6</v>
      </c>
      <c r="N174" s="90" t="s">
        <v>119</v>
      </c>
      <c r="O174" s="91">
        <v>45811</v>
      </c>
      <c r="P174" s="91">
        <v>45811</v>
      </c>
      <c r="Q174" s="91">
        <v>45826</v>
      </c>
      <c r="R174" s="91">
        <v>45826</v>
      </c>
      <c r="S174" s="91">
        <v>45826</v>
      </c>
      <c r="T174" s="88"/>
      <c r="U174" s="88"/>
      <c r="V174" s="90" t="s">
        <v>32</v>
      </c>
      <c r="W174" s="90">
        <v>2</v>
      </c>
      <c r="X174" s="90" t="s">
        <v>228</v>
      </c>
      <c r="Y174" s="91">
        <v>45809</v>
      </c>
      <c r="Z174" s="91">
        <v>45991</v>
      </c>
      <c r="AA174" s="88"/>
      <c r="AB174" s="88"/>
      <c r="AC174" s="92">
        <v>45826.489583333336</v>
      </c>
    </row>
    <row r="175" spans="1:29" customFormat="1" ht="16" x14ac:dyDescent="0.2">
      <c r="A175" s="90" t="s">
        <v>0</v>
      </c>
      <c r="B175" s="90" t="s">
        <v>1124</v>
      </c>
      <c r="C175" s="90" t="s">
        <v>1125</v>
      </c>
      <c r="D175" s="91">
        <v>30556</v>
      </c>
      <c r="E175" s="90">
        <v>42</v>
      </c>
      <c r="F175" s="90" t="s">
        <v>11</v>
      </c>
      <c r="G175" s="90" t="s">
        <v>10</v>
      </c>
      <c r="H175" s="90" t="s">
        <v>10</v>
      </c>
      <c r="I175" s="91">
        <v>41183</v>
      </c>
      <c r="J175" s="90" t="s">
        <v>1009</v>
      </c>
      <c r="K175" s="90" t="s">
        <v>1010</v>
      </c>
      <c r="L175" s="90" t="s">
        <v>7</v>
      </c>
      <c r="M175" s="90" t="s">
        <v>6</v>
      </c>
      <c r="N175" s="90" t="s">
        <v>120</v>
      </c>
      <c r="O175" s="91">
        <v>45810</v>
      </c>
      <c r="P175" s="91">
        <v>45812</v>
      </c>
      <c r="Q175" s="91">
        <v>45891</v>
      </c>
      <c r="R175" s="91">
        <v>45916</v>
      </c>
      <c r="S175" s="91">
        <v>45891</v>
      </c>
      <c r="T175" s="88"/>
      <c r="U175" s="88"/>
      <c r="V175" s="90" t="s">
        <v>32</v>
      </c>
      <c r="W175" s="90">
        <v>2</v>
      </c>
      <c r="X175" s="90" t="s">
        <v>708</v>
      </c>
      <c r="Y175" s="91">
        <v>45870</v>
      </c>
      <c r="Z175" s="91">
        <v>46053</v>
      </c>
      <c r="AA175" s="88"/>
      <c r="AB175" s="88"/>
      <c r="AC175" s="92">
        <v>45944.696527777778</v>
      </c>
    </row>
    <row r="176" spans="1:29" customFormat="1" ht="16" x14ac:dyDescent="0.2">
      <c r="A176" s="90" t="s">
        <v>1</v>
      </c>
      <c r="B176" s="90" t="s">
        <v>1126</v>
      </c>
      <c r="C176" s="90" t="s">
        <v>236</v>
      </c>
      <c r="D176" s="91">
        <v>32578</v>
      </c>
      <c r="E176" s="90">
        <v>36</v>
      </c>
      <c r="F176" s="90" t="s">
        <v>10</v>
      </c>
      <c r="G176" s="90" t="s">
        <v>10</v>
      </c>
      <c r="H176" s="90" t="s">
        <v>10</v>
      </c>
      <c r="I176" s="91">
        <v>39965</v>
      </c>
      <c r="J176" s="90" t="s">
        <v>565</v>
      </c>
      <c r="K176" s="90" t="s">
        <v>742</v>
      </c>
      <c r="L176" s="90" t="s">
        <v>7</v>
      </c>
      <c r="M176" s="90" t="s">
        <v>6</v>
      </c>
      <c r="N176" s="88"/>
      <c r="O176" s="91">
        <v>45804</v>
      </c>
      <c r="P176" s="91">
        <v>45805</v>
      </c>
      <c r="Q176" s="91">
        <v>45805</v>
      </c>
      <c r="R176" s="91">
        <v>45818</v>
      </c>
      <c r="S176" s="88"/>
      <c r="T176" s="91">
        <v>45945</v>
      </c>
      <c r="U176" s="90" t="s">
        <v>712</v>
      </c>
      <c r="V176" s="90" t="s">
        <v>224</v>
      </c>
      <c r="W176" s="90">
        <v>2</v>
      </c>
      <c r="X176" s="90" t="s">
        <v>228</v>
      </c>
      <c r="Y176" s="88"/>
      <c r="Z176" s="88"/>
      <c r="AA176" s="88"/>
      <c r="AB176" s="88"/>
      <c r="AC176" s="92">
        <v>45945.603472222225</v>
      </c>
    </row>
    <row r="177" spans="1:29" customFormat="1" ht="16" x14ac:dyDescent="0.2">
      <c r="A177" s="90" t="s">
        <v>0</v>
      </c>
      <c r="B177" s="90" t="s">
        <v>1127</v>
      </c>
      <c r="C177" s="90" t="s">
        <v>1128</v>
      </c>
      <c r="D177" s="91">
        <v>24909</v>
      </c>
      <c r="E177" s="90">
        <v>57</v>
      </c>
      <c r="F177" s="90" t="s">
        <v>11</v>
      </c>
      <c r="G177" s="90" t="s">
        <v>11</v>
      </c>
      <c r="H177" s="90" t="s">
        <v>10</v>
      </c>
      <c r="I177" s="91">
        <v>43983</v>
      </c>
      <c r="J177" s="90" t="s">
        <v>337</v>
      </c>
      <c r="K177" s="90" t="s">
        <v>544</v>
      </c>
      <c r="L177" s="90" t="s">
        <v>7</v>
      </c>
      <c r="M177" s="90" t="s">
        <v>396</v>
      </c>
      <c r="N177" s="88"/>
      <c r="O177" s="91">
        <v>45805</v>
      </c>
      <c r="P177" s="91">
        <v>45831</v>
      </c>
      <c r="Q177" s="91">
        <v>45846</v>
      </c>
      <c r="R177" s="91">
        <v>45849</v>
      </c>
      <c r="S177" s="91">
        <v>45849</v>
      </c>
      <c r="T177" s="91">
        <v>45945</v>
      </c>
      <c r="U177" s="90" t="s">
        <v>1313</v>
      </c>
      <c r="V177" s="90" t="s">
        <v>224</v>
      </c>
      <c r="W177" s="90">
        <v>1</v>
      </c>
      <c r="X177" s="90" t="s">
        <v>228</v>
      </c>
      <c r="Y177" s="91">
        <v>45839</v>
      </c>
      <c r="Z177" s="91">
        <v>46022</v>
      </c>
      <c r="AA177" s="88"/>
      <c r="AB177" s="88"/>
      <c r="AC177" s="92">
        <v>45945.339583333334</v>
      </c>
    </row>
    <row r="178" spans="1:29" customFormat="1" ht="16" x14ac:dyDescent="0.2">
      <c r="A178" s="90" t="s">
        <v>0</v>
      </c>
      <c r="B178" s="90" t="s">
        <v>123</v>
      </c>
      <c r="C178" s="90" t="s">
        <v>1129</v>
      </c>
      <c r="D178" s="91">
        <v>32885</v>
      </c>
      <c r="E178" s="90">
        <v>35</v>
      </c>
      <c r="F178" s="90" t="s">
        <v>10</v>
      </c>
      <c r="G178" s="90" t="s">
        <v>10</v>
      </c>
      <c r="H178" s="90" t="s">
        <v>10</v>
      </c>
      <c r="I178" s="91">
        <v>42036</v>
      </c>
      <c r="J178" s="90" t="s">
        <v>485</v>
      </c>
      <c r="K178" s="90" t="s">
        <v>211</v>
      </c>
      <c r="L178" s="90" t="s">
        <v>7</v>
      </c>
      <c r="M178" s="90" t="s">
        <v>6</v>
      </c>
      <c r="N178" s="90" t="s">
        <v>120</v>
      </c>
      <c r="O178" s="91">
        <v>45805</v>
      </c>
      <c r="P178" s="91">
        <v>45805</v>
      </c>
      <c r="Q178" s="91">
        <v>45810</v>
      </c>
      <c r="R178" s="91">
        <v>45814</v>
      </c>
      <c r="S178" s="91">
        <v>45835</v>
      </c>
      <c r="T178" s="88"/>
      <c r="U178" s="90" t="s">
        <v>319</v>
      </c>
      <c r="V178" s="90" t="s">
        <v>32</v>
      </c>
      <c r="W178" s="90">
        <v>3</v>
      </c>
      <c r="X178" s="90" t="s">
        <v>1130</v>
      </c>
      <c r="Y178" s="91">
        <v>45809</v>
      </c>
      <c r="Z178" s="91">
        <v>45991</v>
      </c>
      <c r="AA178" s="88"/>
      <c r="AB178" s="88"/>
      <c r="AC178" s="92">
        <v>45926.759722222225</v>
      </c>
    </row>
    <row r="179" spans="1:29" customFormat="1" ht="16" x14ac:dyDescent="0.2">
      <c r="A179" s="90" t="s">
        <v>0</v>
      </c>
      <c r="B179" s="90" t="s">
        <v>1131</v>
      </c>
      <c r="C179" s="90" t="s">
        <v>1132</v>
      </c>
      <c r="D179" s="91">
        <v>34880</v>
      </c>
      <c r="E179" s="90">
        <v>30</v>
      </c>
      <c r="F179" s="90" t="s">
        <v>10</v>
      </c>
      <c r="G179" s="90" t="s">
        <v>10</v>
      </c>
      <c r="H179" s="90" t="s">
        <v>10</v>
      </c>
      <c r="I179" s="91">
        <v>44440</v>
      </c>
      <c r="J179" s="90" t="s">
        <v>739</v>
      </c>
      <c r="K179" s="90" t="s">
        <v>740</v>
      </c>
      <c r="L179" s="90" t="s">
        <v>7</v>
      </c>
      <c r="M179" s="90" t="s">
        <v>6</v>
      </c>
      <c r="N179" s="90" t="s">
        <v>120</v>
      </c>
      <c r="O179" s="91">
        <v>45805</v>
      </c>
      <c r="P179" s="91">
        <v>45805</v>
      </c>
      <c r="Q179" s="91">
        <v>45814</v>
      </c>
      <c r="R179" s="91">
        <v>45814</v>
      </c>
      <c r="S179" s="91">
        <v>45814</v>
      </c>
      <c r="T179" s="88"/>
      <c r="U179" s="90" t="s">
        <v>407</v>
      </c>
      <c r="V179" s="90" t="s">
        <v>32</v>
      </c>
      <c r="W179" s="90">
        <v>5</v>
      </c>
      <c r="X179" s="90" t="s">
        <v>1130</v>
      </c>
      <c r="Y179" s="91">
        <v>45814</v>
      </c>
      <c r="Z179" s="91">
        <v>45996</v>
      </c>
      <c r="AA179" s="88"/>
      <c r="AB179" s="88"/>
      <c r="AC179" s="92">
        <v>45953.488888888889</v>
      </c>
    </row>
    <row r="180" spans="1:29" customFormat="1" ht="16" x14ac:dyDescent="0.2">
      <c r="A180" s="90" t="s">
        <v>1</v>
      </c>
      <c r="B180" s="90" t="s">
        <v>1115</v>
      </c>
      <c r="C180" s="90" t="s">
        <v>1116</v>
      </c>
      <c r="D180" s="91">
        <v>25350</v>
      </c>
      <c r="E180" s="90">
        <v>56</v>
      </c>
      <c r="F180" s="90" t="s">
        <v>11</v>
      </c>
      <c r="G180" s="90" t="s">
        <v>11</v>
      </c>
      <c r="H180" s="90" t="s">
        <v>10</v>
      </c>
      <c r="I180" s="91">
        <v>42156</v>
      </c>
      <c r="J180" s="90" t="s">
        <v>1133</v>
      </c>
      <c r="K180" s="90" t="s">
        <v>1117</v>
      </c>
      <c r="L180" s="90" t="s">
        <v>4</v>
      </c>
      <c r="M180" s="90" t="s">
        <v>6</v>
      </c>
      <c r="N180" s="90" t="s">
        <v>119</v>
      </c>
      <c r="O180" s="91">
        <v>45804</v>
      </c>
      <c r="P180" s="91">
        <v>45827</v>
      </c>
      <c r="Q180" s="91">
        <v>45856</v>
      </c>
      <c r="R180" s="91">
        <v>45859</v>
      </c>
      <c r="S180" s="91">
        <v>45856</v>
      </c>
      <c r="T180" s="88"/>
      <c r="U180" s="88"/>
      <c r="V180" s="90" t="s">
        <v>32</v>
      </c>
      <c r="W180" s="90">
        <v>1</v>
      </c>
      <c r="X180" s="90" t="s">
        <v>125</v>
      </c>
      <c r="Y180" s="91">
        <v>45839</v>
      </c>
      <c r="Z180" s="91">
        <v>46022</v>
      </c>
      <c r="AA180" s="88"/>
      <c r="AB180" s="88"/>
      <c r="AC180" s="92">
        <v>45856.463194444441</v>
      </c>
    </row>
    <row r="181" spans="1:29" customFormat="1" ht="16" x14ac:dyDescent="0.2">
      <c r="A181" s="90" t="s">
        <v>1</v>
      </c>
      <c r="B181" s="90" t="s">
        <v>1134</v>
      </c>
      <c r="C181" s="90" t="s">
        <v>1135</v>
      </c>
      <c r="D181" s="91">
        <v>22483</v>
      </c>
      <c r="E181" s="90">
        <v>64</v>
      </c>
      <c r="F181" s="90" t="s">
        <v>11</v>
      </c>
      <c r="G181" s="90" t="s">
        <v>11</v>
      </c>
      <c r="H181" s="90" t="s">
        <v>10</v>
      </c>
      <c r="I181" s="91">
        <v>40148</v>
      </c>
      <c r="J181" s="90" t="s">
        <v>1136</v>
      </c>
      <c r="K181" s="90" t="s">
        <v>1137</v>
      </c>
      <c r="L181" s="90" t="s">
        <v>7</v>
      </c>
      <c r="M181" s="90" t="s">
        <v>6</v>
      </c>
      <c r="N181" s="88"/>
      <c r="O181" s="91">
        <v>45804</v>
      </c>
      <c r="P181" s="91">
        <v>45805</v>
      </c>
      <c r="Q181" s="91">
        <v>45824</v>
      </c>
      <c r="R181" s="91">
        <v>45824</v>
      </c>
      <c r="S181" s="91">
        <v>45838</v>
      </c>
      <c r="T181" s="88"/>
      <c r="U181" s="90" t="s">
        <v>319</v>
      </c>
      <c r="V181" s="90" t="s">
        <v>32</v>
      </c>
      <c r="W181" s="90">
        <v>2</v>
      </c>
      <c r="X181" s="90" t="s">
        <v>228</v>
      </c>
      <c r="Y181" s="91">
        <v>45809</v>
      </c>
      <c r="Z181" s="91">
        <v>45991</v>
      </c>
      <c r="AA181" s="88"/>
      <c r="AB181" s="88"/>
      <c r="AC181" s="92">
        <v>45941.67291666667</v>
      </c>
    </row>
    <row r="182" spans="1:29" customFormat="1" ht="16" x14ac:dyDescent="0.2">
      <c r="A182" s="90" t="s">
        <v>0</v>
      </c>
      <c r="B182" s="90" t="s">
        <v>250</v>
      </c>
      <c r="C182" s="90" t="s">
        <v>1138</v>
      </c>
      <c r="D182" s="91">
        <v>27272</v>
      </c>
      <c r="E182" s="90">
        <v>51</v>
      </c>
      <c r="F182" s="90" t="s">
        <v>11</v>
      </c>
      <c r="G182" s="90" t="s">
        <v>10</v>
      </c>
      <c r="H182" s="90" t="s">
        <v>10</v>
      </c>
      <c r="I182" s="91">
        <v>40848</v>
      </c>
      <c r="J182" s="90" t="s">
        <v>280</v>
      </c>
      <c r="K182" s="90" t="s">
        <v>281</v>
      </c>
      <c r="L182" s="90" t="s">
        <v>7</v>
      </c>
      <c r="M182" s="90" t="s">
        <v>6</v>
      </c>
      <c r="N182" s="90" t="s">
        <v>119</v>
      </c>
      <c r="O182" s="91">
        <v>45804</v>
      </c>
      <c r="P182" s="91">
        <v>45804</v>
      </c>
      <c r="Q182" s="91">
        <v>45821</v>
      </c>
      <c r="R182" s="91">
        <v>45821</v>
      </c>
      <c r="S182" s="91">
        <v>45821</v>
      </c>
      <c r="T182" s="91">
        <v>45945</v>
      </c>
      <c r="U182" s="90" t="s">
        <v>60</v>
      </c>
      <c r="V182" s="90" t="s">
        <v>224</v>
      </c>
      <c r="W182" s="90">
        <v>3</v>
      </c>
      <c r="X182" s="90" t="s">
        <v>228</v>
      </c>
      <c r="Y182" s="91">
        <v>45809</v>
      </c>
      <c r="Z182" s="91">
        <v>45991</v>
      </c>
      <c r="AA182" s="88"/>
      <c r="AB182" s="88"/>
      <c r="AC182" s="92">
        <v>45952.823611111111</v>
      </c>
    </row>
    <row r="183" spans="1:29" customFormat="1" ht="16" x14ac:dyDescent="0.2">
      <c r="A183" s="90" t="s">
        <v>1</v>
      </c>
      <c r="B183" s="90" t="s">
        <v>1139</v>
      </c>
      <c r="C183" s="90" t="s">
        <v>1140</v>
      </c>
      <c r="D183" s="91">
        <v>33333</v>
      </c>
      <c r="E183" s="90">
        <v>34</v>
      </c>
      <c r="F183" s="90" t="s">
        <v>11</v>
      </c>
      <c r="G183" s="90" t="s">
        <v>10</v>
      </c>
      <c r="H183" s="90" t="s">
        <v>10</v>
      </c>
      <c r="I183" s="91">
        <v>42461</v>
      </c>
      <c r="J183" s="90" t="s">
        <v>583</v>
      </c>
      <c r="K183" s="90" t="s">
        <v>332</v>
      </c>
      <c r="L183" s="90" t="s">
        <v>3</v>
      </c>
      <c r="M183" s="90" t="s">
        <v>6</v>
      </c>
      <c r="N183" s="90" t="s">
        <v>174</v>
      </c>
      <c r="O183" s="91">
        <v>45803</v>
      </c>
      <c r="P183" s="91">
        <v>45805</v>
      </c>
      <c r="Q183" s="91">
        <v>45805</v>
      </c>
      <c r="R183" s="91">
        <v>45824</v>
      </c>
      <c r="S183" s="91">
        <v>45824</v>
      </c>
      <c r="T183" s="88"/>
      <c r="U183" s="88"/>
      <c r="V183" s="90" t="s">
        <v>32</v>
      </c>
      <c r="W183" s="90">
        <v>1</v>
      </c>
      <c r="X183" s="90" t="s">
        <v>118</v>
      </c>
      <c r="Y183" s="91">
        <v>45809</v>
      </c>
      <c r="Z183" s="91">
        <v>45991</v>
      </c>
      <c r="AA183" s="88"/>
      <c r="AB183" s="88"/>
      <c r="AC183" s="92">
        <v>45824.609027777777</v>
      </c>
    </row>
    <row r="184" spans="1:29" customFormat="1" ht="16" x14ac:dyDescent="0.2">
      <c r="A184" s="90" t="s">
        <v>1</v>
      </c>
      <c r="B184" s="90" t="s">
        <v>1141</v>
      </c>
      <c r="C184" s="90" t="s">
        <v>1142</v>
      </c>
      <c r="D184" s="91">
        <v>26102</v>
      </c>
      <c r="E184" s="90">
        <v>54</v>
      </c>
      <c r="F184" s="90" t="s">
        <v>11</v>
      </c>
      <c r="G184" s="90" t="s">
        <v>11</v>
      </c>
      <c r="H184" s="90" t="s">
        <v>10</v>
      </c>
      <c r="I184" s="91">
        <v>45803</v>
      </c>
      <c r="J184" s="90" t="s">
        <v>409</v>
      </c>
      <c r="K184" s="90" t="s">
        <v>959</v>
      </c>
      <c r="L184" s="90" t="s">
        <v>7</v>
      </c>
      <c r="M184" s="90" t="s">
        <v>6</v>
      </c>
      <c r="N184" s="88"/>
      <c r="O184" s="91">
        <v>45803</v>
      </c>
      <c r="P184" s="91">
        <v>45804</v>
      </c>
      <c r="Q184" s="91">
        <v>45805</v>
      </c>
      <c r="R184" s="91">
        <v>45819</v>
      </c>
      <c r="S184" s="88"/>
      <c r="T184" s="91">
        <v>45945</v>
      </c>
      <c r="U184" s="90" t="s">
        <v>712</v>
      </c>
      <c r="V184" s="90" t="s">
        <v>224</v>
      </c>
      <c r="W184" s="90">
        <v>2</v>
      </c>
      <c r="X184" s="90" t="s">
        <v>228</v>
      </c>
      <c r="Y184" s="88"/>
      <c r="Z184" s="88"/>
      <c r="AA184" s="88"/>
      <c r="AB184" s="88"/>
      <c r="AC184" s="92">
        <v>45945.60833333333</v>
      </c>
    </row>
    <row r="185" spans="1:29" customFormat="1" ht="16" x14ac:dyDescent="0.2">
      <c r="A185" s="90" t="s">
        <v>1</v>
      </c>
      <c r="B185" s="90" t="s">
        <v>233</v>
      </c>
      <c r="C185" s="90" t="s">
        <v>1143</v>
      </c>
      <c r="D185" s="91">
        <v>29228</v>
      </c>
      <c r="E185" s="90">
        <v>45</v>
      </c>
      <c r="F185" s="90" t="s">
        <v>11</v>
      </c>
      <c r="G185" s="90" t="s">
        <v>10</v>
      </c>
      <c r="H185" s="90" t="s">
        <v>10</v>
      </c>
      <c r="I185" s="91">
        <v>43952</v>
      </c>
      <c r="J185" s="90" t="s">
        <v>583</v>
      </c>
      <c r="K185" s="90" t="s">
        <v>332</v>
      </c>
      <c r="L185" s="90" t="s">
        <v>3</v>
      </c>
      <c r="M185" s="90" t="s">
        <v>6</v>
      </c>
      <c r="N185" s="90" t="s">
        <v>117</v>
      </c>
      <c r="O185" s="91">
        <v>45803</v>
      </c>
      <c r="P185" s="91">
        <v>45803</v>
      </c>
      <c r="Q185" s="91">
        <v>45804</v>
      </c>
      <c r="R185" s="91">
        <v>45812</v>
      </c>
      <c r="S185" s="91">
        <v>45812</v>
      </c>
      <c r="T185" s="88"/>
      <c r="U185" s="90" t="s">
        <v>91</v>
      </c>
      <c r="V185" s="90" t="s">
        <v>32</v>
      </c>
      <c r="W185" s="90">
        <v>2</v>
      </c>
      <c r="X185" s="90" t="s">
        <v>118</v>
      </c>
      <c r="Y185" s="91">
        <v>45809</v>
      </c>
      <c r="Z185" s="91">
        <v>45991</v>
      </c>
      <c r="AA185" s="88"/>
      <c r="AB185" s="88"/>
      <c r="AC185" s="92">
        <v>45931.401388888888</v>
      </c>
    </row>
    <row r="186" spans="1:29" customFormat="1" ht="16" x14ac:dyDescent="0.2">
      <c r="A186" s="90" t="s">
        <v>0</v>
      </c>
      <c r="B186" s="90" t="s">
        <v>109</v>
      </c>
      <c r="C186" s="90" t="s">
        <v>567</v>
      </c>
      <c r="D186" s="91">
        <v>25994</v>
      </c>
      <c r="E186" s="90">
        <v>54</v>
      </c>
      <c r="F186" s="88"/>
      <c r="G186" s="88"/>
      <c r="H186" s="90" t="s">
        <v>10</v>
      </c>
      <c r="I186" s="91">
        <v>42156</v>
      </c>
      <c r="J186" s="90" t="s">
        <v>304</v>
      </c>
      <c r="K186" s="90" t="s">
        <v>1144</v>
      </c>
      <c r="L186" s="90" t="s">
        <v>4</v>
      </c>
      <c r="M186" s="90" t="s">
        <v>6</v>
      </c>
      <c r="N186" s="88"/>
      <c r="O186" s="91">
        <v>45800</v>
      </c>
      <c r="P186" s="91">
        <v>45827</v>
      </c>
      <c r="Q186" s="91">
        <v>45873</v>
      </c>
      <c r="R186" s="91">
        <v>45874</v>
      </c>
      <c r="S186" s="91">
        <v>45874</v>
      </c>
      <c r="T186" s="91">
        <v>45874</v>
      </c>
      <c r="U186" s="90" t="s">
        <v>712</v>
      </c>
      <c r="V186" s="90" t="s">
        <v>224</v>
      </c>
      <c r="W186" s="90">
        <v>0</v>
      </c>
      <c r="X186" s="88"/>
      <c r="Y186" s="88"/>
      <c r="Z186" s="88"/>
      <c r="AA186" s="88"/>
      <c r="AB186" s="88"/>
      <c r="AC186" s="92">
        <v>45921.430555555555</v>
      </c>
    </row>
    <row r="187" spans="1:29" customFormat="1" ht="16" x14ac:dyDescent="0.2">
      <c r="A187" s="90" t="s">
        <v>1</v>
      </c>
      <c r="B187" s="90" t="s">
        <v>1145</v>
      </c>
      <c r="C187" s="90" t="s">
        <v>1146</v>
      </c>
      <c r="D187" s="91">
        <v>38344</v>
      </c>
      <c r="E187" s="90">
        <v>21</v>
      </c>
      <c r="F187" s="90" t="s">
        <v>10</v>
      </c>
      <c r="G187" s="90" t="s">
        <v>10</v>
      </c>
      <c r="H187" s="90" t="s">
        <v>11</v>
      </c>
      <c r="I187" s="88"/>
      <c r="J187" s="90" t="s">
        <v>1147</v>
      </c>
      <c r="K187" s="90" t="s">
        <v>1148</v>
      </c>
      <c r="L187" s="90" t="s">
        <v>7</v>
      </c>
      <c r="M187" s="90" t="s">
        <v>9</v>
      </c>
      <c r="N187" s="90" t="s">
        <v>120</v>
      </c>
      <c r="O187" s="91">
        <v>45798</v>
      </c>
      <c r="P187" s="91">
        <v>45798</v>
      </c>
      <c r="Q187" s="91">
        <v>45803</v>
      </c>
      <c r="R187" s="91">
        <v>45819</v>
      </c>
      <c r="S187" s="91">
        <v>45819</v>
      </c>
      <c r="T187" s="91">
        <v>45961</v>
      </c>
      <c r="U187" s="90" t="s">
        <v>1114</v>
      </c>
      <c r="V187" s="90" t="s">
        <v>224</v>
      </c>
      <c r="W187" s="90">
        <v>2</v>
      </c>
      <c r="X187" s="90" t="s">
        <v>228</v>
      </c>
      <c r="Y187" s="91">
        <v>45809</v>
      </c>
      <c r="Z187" s="91">
        <v>45991</v>
      </c>
      <c r="AA187" s="88"/>
      <c r="AB187" s="88"/>
      <c r="AC187" s="92">
        <v>45957.685416666667</v>
      </c>
    </row>
    <row r="188" spans="1:29" customFormat="1" ht="16" x14ac:dyDescent="0.2">
      <c r="A188" s="90" t="s">
        <v>0</v>
      </c>
      <c r="B188" s="90" t="s">
        <v>1149</v>
      </c>
      <c r="C188" s="90" t="s">
        <v>1150</v>
      </c>
      <c r="D188" s="91">
        <v>33462</v>
      </c>
      <c r="E188" s="90">
        <v>34</v>
      </c>
      <c r="F188" s="90" t="s">
        <v>11</v>
      </c>
      <c r="G188" s="90" t="s">
        <v>10</v>
      </c>
      <c r="H188" s="90" t="s">
        <v>10</v>
      </c>
      <c r="I188" s="91">
        <v>45717</v>
      </c>
      <c r="J188" s="90" t="s">
        <v>161</v>
      </c>
      <c r="K188" s="90" t="s">
        <v>208</v>
      </c>
      <c r="L188" s="90" t="s">
        <v>7</v>
      </c>
      <c r="M188" s="90" t="s">
        <v>6</v>
      </c>
      <c r="N188" s="88"/>
      <c r="O188" s="91">
        <v>45798</v>
      </c>
      <c r="P188" s="91">
        <v>45798</v>
      </c>
      <c r="Q188" s="91">
        <v>45798</v>
      </c>
      <c r="R188" s="91">
        <v>45831</v>
      </c>
      <c r="S188" s="91">
        <v>45831</v>
      </c>
      <c r="T188" s="88"/>
      <c r="U188" s="90" t="s">
        <v>407</v>
      </c>
      <c r="V188" s="90" t="s">
        <v>32</v>
      </c>
      <c r="W188" s="90">
        <v>2</v>
      </c>
      <c r="X188" s="90" t="s">
        <v>228</v>
      </c>
      <c r="Y188" s="91">
        <v>45839</v>
      </c>
      <c r="Z188" s="91">
        <v>46022</v>
      </c>
      <c r="AA188" s="88"/>
      <c r="AB188" s="88"/>
      <c r="AC188" s="92">
        <v>45915.5625</v>
      </c>
    </row>
    <row r="189" spans="1:29" customFormat="1" ht="16" x14ac:dyDescent="0.2">
      <c r="A189" s="90" t="s">
        <v>1</v>
      </c>
      <c r="B189" s="90" t="s">
        <v>1151</v>
      </c>
      <c r="C189" s="90" t="s">
        <v>1152</v>
      </c>
      <c r="D189" s="91">
        <v>25734</v>
      </c>
      <c r="E189" s="90">
        <v>55</v>
      </c>
      <c r="F189" s="90" t="s">
        <v>11</v>
      </c>
      <c r="G189" s="90" t="s">
        <v>11</v>
      </c>
      <c r="H189" s="90" t="s">
        <v>10</v>
      </c>
      <c r="I189" s="91">
        <v>45717</v>
      </c>
      <c r="J189" s="90" t="s">
        <v>34</v>
      </c>
      <c r="K189" s="90" t="s">
        <v>1153</v>
      </c>
      <c r="L189" s="90" t="s">
        <v>7</v>
      </c>
      <c r="M189" s="90" t="s">
        <v>6</v>
      </c>
      <c r="N189" s="90" t="s">
        <v>120</v>
      </c>
      <c r="O189" s="91">
        <v>45798</v>
      </c>
      <c r="P189" s="91">
        <v>45798</v>
      </c>
      <c r="Q189" s="91">
        <v>45846</v>
      </c>
      <c r="R189" s="91">
        <v>45859</v>
      </c>
      <c r="S189" s="91">
        <v>45919</v>
      </c>
      <c r="T189" s="91">
        <v>45961</v>
      </c>
      <c r="U189" s="90" t="s">
        <v>1114</v>
      </c>
      <c r="V189" s="90" t="s">
        <v>224</v>
      </c>
      <c r="W189" s="90">
        <v>2</v>
      </c>
      <c r="X189" s="90" t="s">
        <v>228</v>
      </c>
      <c r="Y189" s="91">
        <v>45901</v>
      </c>
      <c r="Z189" s="91">
        <v>46081</v>
      </c>
      <c r="AA189" s="88"/>
      <c r="AB189" s="88"/>
      <c r="AC189" s="92">
        <v>45958.356249999997</v>
      </c>
    </row>
    <row r="190" spans="1:29" customFormat="1" ht="16" x14ac:dyDescent="0.2">
      <c r="A190" s="90" t="s">
        <v>1</v>
      </c>
      <c r="B190" s="90" t="s">
        <v>1154</v>
      </c>
      <c r="C190" s="90" t="s">
        <v>1155</v>
      </c>
      <c r="D190" s="91">
        <v>32652</v>
      </c>
      <c r="E190" s="90">
        <v>36</v>
      </c>
      <c r="F190" s="90" t="s">
        <v>10</v>
      </c>
      <c r="G190" s="90" t="s">
        <v>10</v>
      </c>
      <c r="H190" s="90" t="s">
        <v>10</v>
      </c>
      <c r="I190" s="91">
        <v>45444</v>
      </c>
      <c r="J190" s="90" t="s">
        <v>1054</v>
      </c>
      <c r="K190" s="90" t="s">
        <v>1055</v>
      </c>
      <c r="L190" s="90" t="s">
        <v>5</v>
      </c>
      <c r="M190" s="90" t="s">
        <v>6</v>
      </c>
      <c r="N190" s="88"/>
      <c r="O190" s="91">
        <v>45797</v>
      </c>
      <c r="P190" s="91">
        <v>45797</v>
      </c>
      <c r="Q190" s="91">
        <v>45799</v>
      </c>
      <c r="R190" s="91">
        <v>45824</v>
      </c>
      <c r="S190" s="91">
        <v>45824</v>
      </c>
      <c r="T190" s="91">
        <v>45869</v>
      </c>
      <c r="U190" s="90" t="s">
        <v>712</v>
      </c>
      <c r="V190" s="90" t="s">
        <v>224</v>
      </c>
      <c r="W190" s="90">
        <v>2</v>
      </c>
      <c r="X190" s="90" t="s">
        <v>228</v>
      </c>
      <c r="Y190" s="88"/>
      <c r="Z190" s="88"/>
      <c r="AA190" s="88"/>
      <c r="AB190" s="88"/>
      <c r="AC190" s="92">
        <v>45918.351388888892</v>
      </c>
    </row>
    <row r="191" spans="1:29" customFormat="1" ht="16" x14ac:dyDescent="0.2">
      <c r="A191" s="90" t="s">
        <v>0</v>
      </c>
      <c r="B191" s="90" t="s">
        <v>1156</v>
      </c>
      <c r="C191" s="90" t="s">
        <v>1157</v>
      </c>
      <c r="D191" s="91">
        <v>25571</v>
      </c>
      <c r="E191" s="90">
        <v>55</v>
      </c>
      <c r="F191" s="88"/>
      <c r="G191" s="90" t="s">
        <v>10</v>
      </c>
      <c r="H191" s="90" t="s">
        <v>10</v>
      </c>
      <c r="I191" s="91">
        <v>44197</v>
      </c>
      <c r="J191" s="90" t="s">
        <v>380</v>
      </c>
      <c r="K191" s="90" t="s">
        <v>381</v>
      </c>
      <c r="L191" s="90" t="s">
        <v>3</v>
      </c>
      <c r="M191" s="90" t="s">
        <v>6</v>
      </c>
      <c r="N191" s="90" t="s">
        <v>119</v>
      </c>
      <c r="O191" s="91">
        <v>45797</v>
      </c>
      <c r="P191" s="91">
        <v>45799</v>
      </c>
      <c r="Q191" s="91">
        <v>45799</v>
      </c>
      <c r="R191" s="91">
        <v>45832</v>
      </c>
      <c r="S191" s="91">
        <v>45832</v>
      </c>
      <c r="T191" s="88"/>
      <c r="U191" s="90" t="s">
        <v>407</v>
      </c>
      <c r="V191" s="90" t="s">
        <v>32</v>
      </c>
      <c r="W191" s="90">
        <v>1</v>
      </c>
      <c r="X191" s="90" t="s">
        <v>118</v>
      </c>
      <c r="Y191" s="91">
        <v>45809</v>
      </c>
      <c r="Z191" s="91">
        <v>45991</v>
      </c>
      <c r="AA191" s="88"/>
      <c r="AB191" s="88"/>
      <c r="AC191" s="92">
        <v>45919.392361111109</v>
      </c>
    </row>
    <row r="192" spans="1:29" customFormat="1" ht="16" x14ac:dyDescent="0.2">
      <c r="A192" s="90" t="s">
        <v>1</v>
      </c>
      <c r="B192" s="90" t="s">
        <v>710</v>
      </c>
      <c r="C192" s="90" t="s">
        <v>1158</v>
      </c>
      <c r="D192" s="91">
        <v>22326</v>
      </c>
      <c r="E192" s="90">
        <v>64</v>
      </c>
      <c r="F192" s="90" t="s">
        <v>11</v>
      </c>
      <c r="G192" s="90" t="s">
        <v>10</v>
      </c>
      <c r="H192" s="90" t="s">
        <v>10</v>
      </c>
      <c r="I192" s="91">
        <v>44682</v>
      </c>
      <c r="J192" s="90" t="s">
        <v>583</v>
      </c>
      <c r="K192" s="90" t="s">
        <v>332</v>
      </c>
      <c r="L192" s="90" t="s">
        <v>3</v>
      </c>
      <c r="M192" s="90" t="s">
        <v>6</v>
      </c>
      <c r="N192" s="90" t="s">
        <v>121</v>
      </c>
      <c r="O192" s="91">
        <v>45797</v>
      </c>
      <c r="P192" s="91">
        <v>45797</v>
      </c>
      <c r="Q192" s="91">
        <v>45799</v>
      </c>
      <c r="R192" s="91">
        <v>45810</v>
      </c>
      <c r="S192" s="91">
        <v>45810</v>
      </c>
      <c r="T192" s="88"/>
      <c r="U192" s="88"/>
      <c r="V192" s="90" t="s">
        <v>32</v>
      </c>
      <c r="W192" s="90">
        <v>1</v>
      </c>
      <c r="X192" s="90" t="s">
        <v>118</v>
      </c>
      <c r="Y192" s="91">
        <v>45809</v>
      </c>
      <c r="Z192" s="91">
        <v>45991</v>
      </c>
      <c r="AA192" s="88"/>
      <c r="AB192" s="88"/>
      <c r="AC192" s="92">
        <v>45810.707638888889</v>
      </c>
    </row>
    <row r="193" spans="1:29" customFormat="1" ht="16" x14ac:dyDescent="0.2">
      <c r="A193" s="90" t="s">
        <v>0</v>
      </c>
      <c r="B193" s="90" t="s">
        <v>1159</v>
      </c>
      <c r="C193" s="90" t="s">
        <v>1160</v>
      </c>
      <c r="D193" s="91">
        <v>31306</v>
      </c>
      <c r="E193" s="90">
        <v>40</v>
      </c>
      <c r="F193" s="90" t="s">
        <v>10</v>
      </c>
      <c r="G193" s="90" t="s">
        <v>10</v>
      </c>
      <c r="H193" s="90" t="s">
        <v>10</v>
      </c>
      <c r="I193" s="91">
        <v>42005</v>
      </c>
      <c r="J193" s="90" t="s">
        <v>275</v>
      </c>
      <c r="K193" s="90" t="s">
        <v>321</v>
      </c>
      <c r="L193" s="90" t="s">
        <v>5</v>
      </c>
      <c r="M193" s="90" t="s">
        <v>6</v>
      </c>
      <c r="N193" s="90" t="s">
        <v>119</v>
      </c>
      <c r="O193" s="91">
        <v>45797</v>
      </c>
      <c r="P193" s="91">
        <v>45797</v>
      </c>
      <c r="Q193" s="91">
        <v>45799</v>
      </c>
      <c r="R193" s="91">
        <v>45826</v>
      </c>
      <c r="S193" s="91">
        <v>45826</v>
      </c>
      <c r="T193" s="88"/>
      <c r="U193" s="88"/>
      <c r="V193" s="90" t="s">
        <v>32</v>
      </c>
      <c r="W193" s="90">
        <v>1</v>
      </c>
      <c r="X193" s="90" t="s">
        <v>228</v>
      </c>
      <c r="Y193" s="91">
        <v>45809</v>
      </c>
      <c r="Z193" s="91">
        <v>45991</v>
      </c>
      <c r="AA193" s="88"/>
      <c r="AB193" s="88"/>
      <c r="AC193" s="92">
        <v>45924.588888888888</v>
      </c>
    </row>
    <row r="194" spans="1:29" customFormat="1" ht="16" x14ac:dyDescent="0.2">
      <c r="A194" s="90" t="s">
        <v>1</v>
      </c>
      <c r="B194" s="90" t="s">
        <v>1161</v>
      </c>
      <c r="C194" s="90" t="s">
        <v>1162</v>
      </c>
      <c r="D194" s="91">
        <v>33882</v>
      </c>
      <c r="E194" s="90">
        <v>33</v>
      </c>
      <c r="F194" s="90" t="s">
        <v>11</v>
      </c>
      <c r="G194" s="90" t="s">
        <v>10</v>
      </c>
      <c r="H194" s="90" t="s">
        <v>10</v>
      </c>
      <c r="I194" s="91">
        <v>43709</v>
      </c>
      <c r="J194" s="90" t="s">
        <v>583</v>
      </c>
      <c r="K194" s="90" t="s">
        <v>332</v>
      </c>
      <c r="L194" s="90" t="s">
        <v>3</v>
      </c>
      <c r="M194" s="90" t="s">
        <v>6</v>
      </c>
      <c r="N194" s="88"/>
      <c r="O194" s="91">
        <v>45793</v>
      </c>
      <c r="P194" s="91">
        <v>45796</v>
      </c>
      <c r="Q194" s="91">
        <v>45804</v>
      </c>
      <c r="R194" s="91">
        <v>45812</v>
      </c>
      <c r="S194" s="88"/>
      <c r="T194" s="91">
        <v>45944</v>
      </c>
      <c r="U194" s="90" t="s">
        <v>712</v>
      </c>
      <c r="V194" s="90" t="s">
        <v>224</v>
      </c>
      <c r="W194" s="90">
        <v>1</v>
      </c>
      <c r="X194" s="90" t="s">
        <v>228</v>
      </c>
      <c r="Y194" s="88"/>
      <c r="Z194" s="88"/>
      <c r="AA194" s="88"/>
      <c r="AB194" s="88"/>
      <c r="AC194" s="92">
        <v>45944.703472222223</v>
      </c>
    </row>
    <row r="195" spans="1:29" customFormat="1" ht="16" x14ac:dyDescent="0.2">
      <c r="A195" s="90" t="s">
        <v>0</v>
      </c>
      <c r="B195" s="90" t="s">
        <v>584</v>
      </c>
      <c r="C195" s="90" t="s">
        <v>933</v>
      </c>
      <c r="D195" s="91">
        <v>23949</v>
      </c>
      <c r="E195" s="90">
        <v>60</v>
      </c>
      <c r="F195" s="90" t="s">
        <v>11</v>
      </c>
      <c r="G195" s="90" t="s">
        <v>10</v>
      </c>
      <c r="H195" s="90" t="s">
        <v>10</v>
      </c>
      <c r="I195" s="91">
        <v>45292</v>
      </c>
      <c r="J195" s="90" t="s">
        <v>155</v>
      </c>
      <c r="K195" s="90" t="s">
        <v>156</v>
      </c>
      <c r="L195" s="90" t="s">
        <v>3</v>
      </c>
      <c r="M195" s="90" t="s">
        <v>6</v>
      </c>
      <c r="N195" s="90" t="s">
        <v>174</v>
      </c>
      <c r="O195" s="91">
        <v>45793</v>
      </c>
      <c r="P195" s="91">
        <v>45796</v>
      </c>
      <c r="Q195" s="91">
        <v>45798</v>
      </c>
      <c r="R195" s="91">
        <v>45810</v>
      </c>
      <c r="S195" s="91">
        <v>45810</v>
      </c>
      <c r="T195" s="88"/>
      <c r="U195" s="88"/>
      <c r="V195" s="90" t="s">
        <v>32</v>
      </c>
      <c r="W195" s="90">
        <v>1</v>
      </c>
      <c r="X195" s="90" t="s">
        <v>118</v>
      </c>
      <c r="Y195" s="91">
        <v>45809</v>
      </c>
      <c r="Z195" s="91">
        <v>45991</v>
      </c>
      <c r="AA195" s="88"/>
      <c r="AB195" s="88"/>
      <c r="AC195" s="92">
        <v>45839.576388888891</v>
      </c>
    </row>
    <row r="196" spans="1:29" customFormat="1" ht="16" x14ac:dyDescent="0.2">
      <c r="A196" s="90" t="s">
        <v>0</v>
      </c>
      <c r="B196" s="90" t="s">
        <v>1156</v>
      </c>
      <c r="C196" s="90" t="s">
        <v>1163</v>
      </c>
      <c r="D196" s="91">
        <v>31563</v>
      </c>
      <c r="E196" s="90">
        <v>39</v>
      </c>
      <c r="F196" s="90" t="s">
        <v>11</v>
      </c>
      <c r="G196" s="90" t="s">
        <v>11</v>
      </c>
      <c r="H196" s="90" t="s">
        <v>10</v>
      </c>
      <c r="I196" s="91">
        <v>44501</v>
      </c>
      <c r="J196" s="90" t="s">
        <v>161</v>
      </c>
      <c r="K196" s="90" t="s">
        <v>208</v>
      </c>
      <c r="L196" s="90" t="s">
        <v>7</v>
      </c>
      <c r="M196" s="90" t="s">
        <v>6</v>
      </c>
      <c r="N196" s="88"/>
      <c r="O196" s="91">
        <v>45793</v>
      </c>
      <c r="P196" s="91">
        <v>45793</v>
      </c>
      <c r="Q196" s="91">
        <v>45805</v>
      </c>
      <c r="R196" s="91">
        <v>45819</v>
      </c>
      <c r="S196" s="91">
        <v>45831</v>
      </c>
      <c r="T196" s="88"/>
      <c r="U196" s="88"/>
      <c r="V196" s="90" t="s">
        <v>32</v>
      </c>
      <c r="W196" s="90">
        <v>1</v>
      </c>
      <c r="X196" s="90" t="s">
        <v>228</v>
      </c>
      <c r="Y196" s="91">
        <v>45809</v>
      </c>
      <c r="Z196" s="91">
        <v>45991</v>
      </c>
      <c r="AA196" s="88"/>
      <c r="AB196" s="88"/>
      <c r="AC196" s="92">
        <v>45831.714583333334</v>
      </c>
    </row>
    <row r="197" spans="1:29" customFormat="1" ht="16" x14ac:dyDescent="0.2">
      <c r="A197" s="90" t="s">
        <v>0</v>
      </c>
      <c r="B197" s="90" t="s">
        <v>1164</v>
      </c>
      <c r="C197" s="90" t="s">
        <v>1165</v>
      </c>
      <c r="D197" s="91">
        <v>29192</v>
      </c>
      <c r="E197" s="90">
        <v>46</v>
      </c>
      <c r="F197" s="90" t="s">
        <v>10</v>
      </c>
      <c r="G197" s="90" t="s">
        <v>10</v>
      </c>
      <c r="H197" s="90" t="s">
        <v>10</v>
      </c>
      <c r="I197" s="91">
        <v>43892</v>
      </c>
      <c r="J197" s="90" t="s">
        <v>337</v>
      </c>
      <c r="K197" s="90" t="s">
        <v>544</v>
      </c>
      <c r="L197" s="90" t="s">
        <v>7</v>
      </c>
      <c r="M197" s="90" t="s">
        <v>396</v>
      </c>
      <c r="N197" s="90" t="s">
        <v>120</v>
      </c>
      <c r="O197" s="91">
        <v>45793</v>
      </c>
      <c r="P197" s="91">
        <v>45793</v>
      </c>
      <c r="Q197" s="91">
        <v>45797</v>
      </c>
      <c r="R197" s="91">
        <v>45813</v>
      </c>
      <c r="S197" s="91">
        <v>45813</v>
      </c>
      <c r="T197" s="88"/>
      <c r="U197" s="90" t="s">
        <v>407</v>
      </c>
      <c r="V197" s="90" t="s">
        <v>32</v>
      </c>
      <c r="W197" s="90">
        <v>3</v>
      </c>
      <c r="X197" s="90" t="s">
        <v>228</v>
      </c>
      <c r="Y197" s="91">
        <v>45809</v>
      </c>
      <c r="Z197" s="91">
        <v>45991</v>
      </c>
      <c r="AA197" s="88"/>
      <c r="AB197" s="88"/>
      <c r="AC197" s="92">
        <v>45953.420138888891</v>
      </c>
    </row>
    <row r="198" spans="1:29" customFormat="1" ht="16" x14ac:dyDescent="0.2">
      <c r="A198" s="90" t="s">
        <v>0</v>
      </c>
      <c r="B198" s="90" t="s">
        <v>1166</v>
      </c>
      <c r="C198" s="90" t="s">
        <v>1167</v>
      </c>
      <c r="D198" s="91">
        <v>28955</v>
      </c>
      <c r="E198" s="90">
        <v>46</v>
      </c>
      <c r="F198" s="90" t="s">
        <v>11</v>
      </c>
      <c r="G198" s="90" t="s">
        <v>10</v>
      </c>
      <c r="H198" s="90" t="s">
        <v>10</v>
      </c>
      <c r="I198" s="91">
        <v>45078</v>
      </c>
      <c r="J198" s="90" t="s">
        <v>598</v>
      </c>
      <c r="K198" s="90" t="s">
        <v>599</v>
      </c>
      <c r="L198" s="90" t="s">
        <v>3</v>
      </c>
      <c r="M198" s="90" t="s">
        <v>396</v>
      </c>
      <c r="N198" s="88"/>
      <c r="O198" s="91">
        <v>45792</v>
      </c>
      <c r="P198" s="88"/>
      <c r="Q198" s="88"/>
      <c r="R198" s="88"/>
      <c r="S198" s="88"/>
      <c r="T198" s="88"/>
      <c r="U198" s="88"/>
      <c r="V198" s="90" t="s">
        <v>227</v>
      </c>
      <c r="W198" s="90">
        <v>0</v>
      </c>
      <c r="X198" s="88"/>
      <c r="Y198" s="88"/>
      <c r="Z198" s="88"/>
      <c r="AA198" s="88"/>
      <c r="AB198" s="88"/>
      <c r="AC198" s="92">
        <v>45792.698611111111</v>
      </c>
    </row>
    <row r="199" spans="1:29" customFormat="1" ht="16" x14ac:dyDescent="0.2">
      <c r="A199" s="90" t="s">
        <v>0</v>
      </c>
      <c r="B199" s="90" t="s">
        <v>1168</v>
      </c>
      <c r="C199" s="90" t="s">
        <v>628</v>
      </c>
      <c r="D199" s="91">
        <v>28140</v>
      </c>
      <c r="E199" s="90">
        <v>48</v>
      </c>
      <c r="F199" s="90" t="s">
        <v>11</v>
      </c>
      <c r="G199" s="90" t="s">
        <v>11</v>
      </c>
      <c r="H199" s="90" t="s">
        <v>10</v>
      </c>
      <c r="I199" s="91">
        <v>43952</v>
      </c>
      <c r="J199" s="90" t="s">
        <v>420</v>
      </c>
      <c r="K199" s="90" t="s">
        <v>421</v>
      </c>
      <c r="L199" s="90" t="s">
        <v>7</v>
      </c>
      <c r="M199" s="90" t="s">
        <v>6</v>
      </c>
      <c r="N199" s="90" t="s">
        <v>225</v>
      </c>
      <c r="O199" s="91">
        <v>45792</v>
      </c>
      <c r="P199" s="91">
        <v>45793</v>
      </c>
      <c r="Q199" s="91">
        <v>45797</v>
      </c>
      <c r="R199" s="91">
        <v>45820</v>
      </c>
      <c r="S199" s="91">
        <v>45820</v>
      </c>
      <c r="T199" s="88"/>
      <c r="U199" s="88"/>
      <c r="V199" s="90" t="s">
        <v>32</v>
      </c>
      <c r="W199" s="90">
        <v>1</v>
      </c>
      <c r="X199" s="90" t="s">
        <v>228</v>
      </c>
      <c r="Y199" s="91">
        <v>45809</v>
      </c>
      <c r="Z199" s="91">
        <v>45991</v>
      </c>
      <c r="AA199" s="88"/>
      <c r="AB199" s="88"/>
      <c r="AC199" s="92">
        <v>45946.496527777781</v>
      </c>
    </row>
    <row r="200" spans="1:29" customFormat="1" ht="16" x14ac:dyDescent="0.2">
      <c r="A200" s="90" t="s">
        <v>1</v>
      </c>
      <c r="B200" s="90" t="s">
        <v>1169</v>
      </c>
      <c r="C200" s="90" t="s">
        <v>1170</v>
      </c>
      <c r="D200" s="91">
        <v>26392</v>
      </c>
      <c r="E200" s="90">
        <v>53</v>
      </c>
      <c r="F200" s="90" t="s">
        <v>11</v>
      </c>
      <c r="G200" s="90" t="s">
        <v>10</v>
      </c>
      <c r="H200" s="90" t="s">
        <v>10</v>
      </c>
      <c r="I200" s="88"/>
      <c r="J200" s="90" t="s">
        <v>420</v>
      </c>
      <c r="K200" s="90" t="s">
        <v>421</v>
      </c>
      <c r="L200" s="90" t="s">
        <v>7</v>
      </c>
      <c r="M200" s="90" t="s">
        <v>6</v>
      </c>
      <c r="N200" s="88"/>
      <c r="O200" s="91">
        <v>45792</v>
      </c>
      <c r="P200" s="91">
        <v>45793</v>
      </c>
      <c r="Q200" s="88"/>
      <c r="R200" s="88"/>
      <c r="S200" s="91">
        <v>45870</v>
      </c>
      <c r="T200" s="91">
        <v>45870</v>
      </c>
      <c r="U200" s="90" t="s">
        <v>712</v>
      </c>
      <c r="V200" s="90" t="s">
        <v>224</v>
      </c>
      <c r="W200" s="90">
        <v>0</v>
      </c>
      <c r="X200" s="88"/>
      <c r="Y200" s="88"/>
      <c r="Z200" s="88"/>
      <c r="AA200" s="88"/>
      <c r="AB200" s="88"/>
      <c r="AC200" s="92">
        <v>45921.431944444441</v>
      </c>
    </row>
    <row r="201" spans="1:29" customFormat="1" ht="16" x14ac:dyDescent="0.2">
      <c r="A201" s="90" t="s">
        <v>1</v>
      </c>
      <c r="B201" s="90" t="s">
        <v>1171</v>
      </c>
      <c r="C201" s="90" t="s">
        <v>508</v>
      </c>
      <c r="D201" s="91">
        <v>29591</v>
      </c>
      <c r="E201" s="90">
        <v>44</v>
      </c>
      <c r="F201" s="90" t="s">
        <v>11</v>
      </c>
      <c r="G201" s="90" t="s">
        <v>10</v>
      </c>
      <c r="H201" s="90" t="s">
        <v>10</v>
      </c>
      <c r="I201" s="91">
        <v>39951</v>
      </c>
      <c r="J201" s="90" t="s">
        <v>420</v>
      </c>
      <c r="K201" s="90" t="s">
        <v>421</v>
      </c>
      <c r="L201" s="90" t="s">
        <v>7</v>
      </c>
      <c r="M201" s="90" t="s">
        <v>6</v>
      </c>
      <c r="N201" s="88"/>
      <c r="O201" s="91">
        <v>45792</v>
      </c>
      <c r="P201" s="91">
        <v>45793</v>
      </c>
      <c r="Q201" s="91">
        <v>45803</v>
      </c>
      <c r="R201" s="91">
        <v>45827</v>
      </c>
      <c r="S201" s="91">
        <v>45838</v>
      </c>
      <c r="T201" s="88"/>
      <c r="U201" s="88"/>
      <c r="V201" s="90" t="s">
        <v>32</v>
      </c>
      <c r="W201" s="90">
        <v>2</v>
      </c>
      <c r="X201" s="90" t="s">
        <v>228</v>
      </c>
      <c r="Y201" s="91">
        <v>45809</v>
      </c>
      <c r="Z201" s="91">
        <v>45991</v>
      </c>
      <c r="AA201" s="88"/>
      <c r="AB201" s="88"/>
      <c r="AC201" s="92">
        <v>45838.480555555558</v>
      </c>
    </row>
    <row r="202" spans="1:29" customFormat="1" ht="16" x14ac:dyDescent="0.2">
      <c r="A202" s="90" t="s">
        <v>1</v>
      </c>
      <c r="B202" s="90" t="s">
        <v>1172</v>
      </c>
      <c r="C202" s="90" t="s">
        <v>1173</v>
      </c>
      <c r="D202" s="91">
        <v>32853</v>
      </c>
      <c r="E202" s="90">
        <v>36</v>
      </c>
      <c r="F202" s="90" t="s">
        <v>11</v>
      </c>
      <c r="G202" s="90" t="s">
        <v>10</v>
      </c>
      <c r="H202" s="90" t="s">
        <v>10</v>
      </c>
      <c r="I202" s="91">
        <v>44866</v>
      </c>
      <c r="J202" s="90" t="s">
        <v>505</v>
      </c>
      <c r="K202" s="90" t="s">
        <v>506</v>
      </c>
      <c r="L202" s="90" t="s">
        <v>7</v>
      </c>
      <c r="M202" s="90" t="s">
        <v>6</v>
      </c>
      <c r="N202" s="90" t="s">
        <v>120</v>
      </c>
      <c r="O202" s="91">
        <v>45792</v>
      </c>
      <c r="P202" s="91">
        <v>45793</v>
      </c>
      <c r="Q202" s="91">
        <v>45803</v>
      </c>
      <c r="R202" s="91">
        <v>45813</v>
      </c>
      <c r="S202" s="91">
        <v>45813</v>
      </c>
      <c r="T202" s="88"/>
      <c r="U202" s="90" t="s">
        <v>1201</v>
      </c>
      <c r="V202" s="90" t="s">
        <v>32</v>
      </c>
      <c r="W202" s="90">
        <v>2</v>
      </c>
      <c r="X202" s="90" t="s">
        <v>228</v>
      </c>
      <c r="Y202" s="91">
        <v>45809</v>
      </c>
      <c r="Z202" s="91">
        <v>45991</v>
      </c>
      <c r="AA202" s="88"/>
      <c r="AB202" s="88"/>
      <c r="AC202" s="92">
        <v>45946.587500000001</v>
      </c>
    </row>
    <row r="203" spans="1:29" customFormat="1" ht="16" x14ac:dyDescent="0.2">
      <c r="A203" s="90" t="s">
        <v>0</v>
      </c>
      <c r="B203" s="90" t="s">
        <v>352</v>
      </c>
      <c r="C203" s="90" t="s">
        <v>1174</v>
      </c>
      <c r="D203" s="91">
        <v>25298</v>
      </c>
      <c r="E203" s="90">
        <v>56</v>
      </c>
      <c r="F203" s="90" t="s">
        <v>11</v>
      </c>
      <c r="G203" s="90" t="s">
        <v>10</v>
      </c>
      <c r="H203" s="90" t="s">
        <v>10</v>
      </c>
      <c r="I203" s="88"/>
      <c r="J203" s="90" t="s">
        <v>409</v>
      </c>
      <c r="K203" s="90" t="s">
        <v>959</v>
      </c>
      <c r="L203" s="90" t="s">
        <v>7</v>
      </c>
      <c r="M203" s="90" t="s">
        <v>6</v>
      </c>
      <c r="N203" s="88"/>
      <c r="O203" s="91">
        <v>45791</v>
      </c>
      <c r="P203" s="91">
        <v>45792</v>
      </c>
      <c r="Q203" s="91">
        <v>45793</v>
      </c>
      <c r="R203" s="91">
        <v>45814</v>
      </c>
      <c r="S203" s="91">
        <v>45814</v>
      </c>
      <c r="T203" s="91">
        <v>45814</v>
      </c>
      <c r="U203" s="90" t="s">
        <v>92</v>
      </c>
      <c r="V203" s="90" t="s">
        <v>224</v>
      </c>
      <c r="W203" s="90">
        <v>1</v>
      </c>
      <c r="X203" s="90" t="s">
        <v>228</v>
      </c>
      <c r="Y203" s="88"/>
      <c r="Z203" s="88"/>
      <c r="AA203" s="88"/>
      <c r="AB203" s="88"/>
      <c r="AC203" s="92">
        <v>45902.493055555555</v>
      </c>
    </row>
    <row r="204" spans="1:29" customFormat="1" ht="16" x14ac:dyDescent="0.2">
      <c r="A204" s="90" t="s">
        <v>0</v>
      </c>
      <c r="B204" s="90" t="s">
        <v>1175</v>
      </c>
      <c r="C204" s="90" t="s">
        <v>1176</v>
      </c>
      <c r="D204" s="91">
        <v>37806</v>
      </c>
      <c r="E204" s="90">
        <v>22</v>
      </c>
      <c r="F204" s="90" t="s">
        <v>11</v>
      </c>
      <c r="G204" s="90" t="s">
        <v>10</v>
      </c>
      <c r="H204" s="90" t="s">
        <v>11</v>
      </c>
      <c r="I204" s="88"/>
      <c r="J204" s="90" t="s">
        <v>539</v>
      </c>
      <c r="K204" s="90" t="s">
        <v>391</v>
      </c>
      <c r="L204" s="90" t="s">
        <v>7</v>
      </c>
      <c r="M204" s="90" t="s">
        <v>9</v>
      </c>
      <c r="N204" s="88"/>
      <c r="O204" s="91">
        <v>45791</v>
      </c>
      <c r="P204" s="91">
        <v>45792</v>
      </c>
      <c r="Q204" s="91">
        <v>45793</v>
      </c>
      <c r="R204" s="91">
        <v>45831</v>
      </c>
      <c r="S204" s="91">
        <v>45901</v>
      </c>
      <c r="T204" s="88"/>
      <c r="U204" s="88"/>
      <c r="V204" s="90" t="s">
        <v>32</v>
      </c>
      <c r="W204" s="90">
        <v>3</v>
      </c>
      <c r="X204" s="90" t="s">
        <v>228</v>
      </c>
      <c r="Y204" s="88"/>
      <c r="Z204" s="88"/>
      <c r="AA204" s="88"/>
      <c r="AB204" s="88"/>
      <c r="AC204" s="92">
        <v>45941.682638888888</v>
      </c>
    </row>
    <row r="205" spans="1:29" customFormat="1" ht="16" x14ac:dyDescent="0.2">
      <c r="A205" s="90" t="s">
        <v>0</v>
      </c>
      <c r="B205" s="90" t="s">
        <v>1177</v>
      </c>
      <c r="C205" s="90" t="s">
        <v>1178</v>
      </c>
      <c r="D205" s="91">
        <v>31187</v>
      </c>
      <c r="E205" s="90">
        <v>40</v>
      </c>
      <c r="F205" s="90" t="s">
        <v>11</v>
      </c>
      <c r="G205" s="90" t="s">
        <v>10</v>
      </c>
      <c r="H205" s="90" t="s">
        <v>10</v>
      </c>
      <c r="I205" s="88"/>
      <c r="J205" s="90" t="s">
        <v>1040</v>
      </c>
      <c r="K205" s="90" t="s">
        <v>1041</v>
      </c>
      <c r="L205" s="90" t="s">
        <v>3</v>
      </c>
      <c r="M205" s="90" t="s">
        <v>396</v>
      </c>
      <c r="N205" s="88"/>
      <c r="O205" s="91">
        <v>45791</v>
      </c>
      <c r="P205" s="91">
        <v>45792</v>
      </c>
      <c r="Q205" s="91">
        <v>45805</v>
      </c>
      <c r="R205" s="91">
        <v>45873</v>
      </c>
      <c r="S205" s="91">
        <v>45805</v>
      </c>
      <c r="T205" s="91">
        <v>45873</v>
      </c>
      <c r="U205" s="90" t="s">
        <v>712</v>
      </c>
      <c r="V205" s="90" t="s">
        <v>224</v>
      </c>
      <c r="W205" s="90">
        <v>0</v>
      </c>
      <c r="X205" s="88"/>
      <c r="Y205" s="88"/>
      <c r="Z205" s="88"/>
      <c r="AA205" s="88"/>
      <c r="AB205" s="88"/>
      <c r="AC205" s="92">
        <v>45873.37222222222</v>
      </c>
    </row>
    <row r="206" spans="1:29" customFormat="1" ht="16" x14ac:dyDescent="0.2">
      <c r="A206" s="90" t="s">
        <v>0</v>
      </c>
      <c r="B206" s="90" t="s">
        <v>1179</v>
      </c>
      <c r="C206" s="90" t="s">
        <v>1180</v>
      </c>
      <c r="D206" s="91">
        <v>28422</v>
      </c>
      <c r="E206" s="90">
        <v>48</v>
      </c>
      <c r="F206" s="90" t="s">
        <v>10</v>
      </c>
      <c r="G206" s="90" t="s">
        <v>10</v>
      </c>
      <c r="H206" s="90" t="s">
        <v>10</v>
      </c>
      <c r="I206" s="91">
        <v>43252</v>
      </c>
      <c r="J206" s="90" t="s">
        <v>310</v>
      </c>
      <c r="K206" s="90" t="s">
        <v>703</v>
      </c>
      <c r="L206" s="90" t="s">
        <v>5</v>
      </c>
      <c r="M206" s="90" t="s">
        <v>6</v>
      </c>
      <c r="N206" s="90" t="s">
        <v>174</v>
      </c>
      <c r="O206" s="91">
        <v>45790</v>
      </c>
      <c r="P206" s="91">
        <v>45791</v>
      </c>
      <c r="Q206" s="91">
        <v>45844</v>
      </c>
      <c r="R206" s="91">
        <v>45854</v>
      </c>
      <c r="S206" s="91">
        <v>45854</v>
      </c>
      <c r="T206" s="88"/>
      <c r="U206" s="88"/>
      <c r="V206" s="90" t="s">
        <v>32</v>
      </c>
      <c r="W206" s="90">
        <v>2</v>
      </c>
      <c r="X206" s="90" t="s">
        <v>125</v>
      </c>
      <c r="Y206" s="91">
        <v>45839</v>
      </c>
      <c r="Z206" s="91">
        <v>46022</v>
      </c>
      <c r="AA206" s="88"/>
      <c r="AB206" s="88"/>
      <c r="AC206" s="92">
        <v>45854.640277777777</v>
      </c>
    </row>
    <row r="207" spans="1:29" customFormat="1" ht="16" x14ac:dyDescent="0.2">
      <c r="A207" s="90" t="s">
        <v>1</v>
      </c>
      <c r="B207" s="90" t="s">
        <v>122</v>
      </c>
      <c r="C207" s="90" t="s">
        <v>1181</v>
      </c>
      <c r="D207" s="91">
        <v>25052</v>
      </c>
      <c r="E207" s="90">
        <v>57</v>
      </c>
      <c r="F207" s="90" t="s">
        <v>11</v>
      </c>
      <c r="G207" s="90" t="s">
        <v>11</v>
      </c>
      <c r="H207" s="90" t="s">
        <v>10</v>
      </c>
      <c r="I207" s="91">
        <v>44317</v>
      </c>
      <c r="J207" s="90" t="s">
        <v>583</v>
      </c>
      <c r="K207" s="90" t="s">
        <v>332</v>
      </c>
      <c r="L207" s="90" t="s">
        <v>3</v>
      </c>
      <c r="M207" s="90" t="s">
        <v>6</v>
      </c>
      <c r="N207" s="90" t="s">
        <v>119</v>
      </c>
      <c r="O207" s="91">
        <v>45790</v>
      </c>
      <c r="P207" s="91">
        <v>45790</v>
      </c>
      <c r="Q207" s="91">
        <v>45791</v>
      </c>
      <c r="R207" s="91">
        <v>45804</v>
      </c>
      <c r="S207" s="91">
        <v>45804</v>
      </c>
      <c r="T207" s="91">
        <v>45957</v>
      </c>
      <c r="U207" s="90" t="s">
        <v>319</v>
      </c>
      <c r="V207" s="90" t="s">
        <v>224</v>
      </c>
      <c r="W207" s="90">
        <v>1</v>
      </c>
      <c r="X207" s="90" t="s">
        <v>118</v>
      </c>
      <c r="Y207" s="91">
        <v>45778</v>
      </c>
      <c r="Z207" s="91">
        <v>45961</v>
      </c>
      <c r="AA207" s="88"/>
      <c r="AB207" s="88"/>
      <c r="AC207" s="92">
        <v>45958.44027777778</v>
      </c>
    </row>
    <row r="208" spans="1:29" customFormat="1" ht="16" x14ac:dyDescent="0.2">
      <c r="A208" s="90" t="s">
        <v>0</v>
      </c>
      <c r="B208" s="90" t="s">
        <v>1182</v>
      </c>
      <c r="C208" s="90" t="s">
        <v>1183</v>
      </c>
      <c r="D208" s="91">
        <v>25567</v>
      </c>
      <c r="E208" s="90">
        <v>56</v>
      </c>
      <c r="F208" s="90" t="s">
        <v>10</v>
      </c>
      <c r="G208" s="90" t="s">
        <v>10</v>
      </c>
      <c r="H208" s="90" t="s">
        <v>10</v>
      </c>
      <c r="I208" s="91">
        <v>45597</v>
      </c>
      <c r="J208" s="90" t="s">
        <v>185</v>
      </c>
      <c r="K208" s="90" t="s">
        <v>186</v>
      </c>
      <c r="L208" s="90" t="s">
        <v>3</v>
      </c>
      <c r="M208" s="90" t="s">
        <v>6</v>
      </c>
      <c r="N208" s="90" t="s">
        <v>119</v>
      </c>
      <c r="O208" s="91">
        <v>45789</v>
      </c>
      <c r="P208" s="91">
        <v>45796</v>
      </c>
      <c r="Q208" s="91">
        <v>45796</v>
      </c>
      <c r="R208" s="91">
        <v>45826</v>
      </c>
      <c r="S208" s="91">
        <v>45826</v>
      </c>
      <c r="T208" s="88"/>
      <c r="U208" s="90" t="s">
        <v>319</v>
      </c>
      <c r="V208" s="90" t="s">
        <v>32</v>
      </c>
      <c r="W208" s="90">
        <v>1</v>
      </c>
      <c r="X208" s="90" t="s">
        <v>118</v>
      </c>
      <c r="Y208" s="91">
        <v>45809</v>
      </c>
      <c r="Z208" s="91">
        <v>45991</v>
      </c>
      <c r="AA208" s="88"/>
      <c r="AB208" s="88"/>
      <c r="AC208" s="92">
        <v>45854.379166666666</v>
      </c>
    </row>
    <row r="209" spans="1:29" customFormat="1" ht="16" x14ac:dyDescent="0.2">
      <c r="A209" s="90" t="s">
        <v>0</v>
      </c>
      <c r="B209" s="90" t="s">
        <v>1184</v>
      </c>
      <c r="C209" s="90" t="s">
        <v>1185</v>
      </c>
      <c r="D209" s="91">
        <v>22917</v>
      </c>
      <c r="E209" s="90">
        <v>63</v>
      </c>
      <c r="F209" s="90" t="s">
        <v>11</v>
      </c>
      <c r="G209" s="90" t="s">
        <v>10</v>
      </c>
      <c r="H209" s="90" t="s">
        <v>10</v>
      </c>
      <c r="I209" s="91">
        <v>45717</v>
      </c>
      <c r="J209" s="90" t="s">
        <v>145</v>
      </c>
      <c r="K209" s="90" t="s">
        <v>146</v>
      </c>
      <c r="L209" s="90" t="s">
        <v>3</v>
      </c>
      <c r="M209" s="90" t="s">
        <v>6</v>
      </c>
      <c r="N209" s="88"/>
      <c r="O209" s="91">
        <v>45786</v>
      </c>
      <c r="P209" s="91">
        <v>45792</v>
      </c>
      <c r="Q209" s="91">
        <v>45792</v>
      </c>
      <c r="R209" s="91">
        <v>45799</v>
      </c>
      <c r="S209" s="88"/>
      <c r="T209" s="88"/>
      <c r="U209" s="88"/>
      <c r="V209" s="90" t="s">
        <v>32</v>
      </c>
      <c r="W209" s="90">
        <v>1</v>
      </c>
      <c r="X209" s="90" t="s">
        <v>228</v>
      </c>
      <c r="Y209" s="88"/>
      <c r="Z209" s="88"/>
      <c r="AA209" s="88"/>
      <c r="AB209" s="88"/>
      <c r="AC209" s="92">
        <v>45792.479166666664</v>
      </c>
    </row>
    <row r="210" spans="1:29" customFormat="1" ht="16" x14ac:dyDescent="0.2">
      <c r="A210" s="90" t="s">
        <v>0</v>
      </c>
      <c r="B210" s="90" t="s">
        <v>1186</v>
      </c>
      <c r="C210" s="90" t="s">
        <v>1187</v>
      </c>
      <c r="D210" s="91">
        <v>30106</v>
      </c>
      <c r="E210" s="90">
        <v>43</v>
      </c>
      <c r="F210" s="90" t="s">
        <v>11</v>
      </c>
      <c r="G210" s="90" t="s">
        <v>10</v>
      </c>
      <c r="H210" s="90" t="s">
        <v>10</v>
      </c>
      <c r="I210" s="91">
        <v>45413</v>
      </c>
      <c r="J210" s="90" t="s">
        <v>185</v>
      </c>
      <c r="K210" s="90" t="s">
        <v>186</v>
      </c>
      <c r="L210" s="90" t="s">
        <v>3</v>
      </c>
      <c r="M210" s="90" t="s">
        <v>6</v>
      </c>
      <c r="N210" s="90" t="s">
        <v>119</v>
      </c>
      <c r="O210" s="91">
        <v>45784</v>
      </c>
      <c r="P210" s="91">
        <v>45789</v>
      </c>
      <c r="Q210" s="91">
        <v>45790</v>
      </c>
      <c r="R210" s="91">
        <v>45798</v>
      </c>
      <c r="S210" s="91">
        <v>45798</v>
      </c>
      <c r="T210" s="88"/>
      <c r="U210" s="90" t="s">
        <v>319</v>
      </c>
      <c r="V210" s="90" t="s">
        <v>32</v>
      </c>
      <c r="W210" s="90">
        <v>1</v>
      </c>
      <c r="X210" s="90" t="s">
        <v>118</v>
      </c>
      <c r="Y210" s="91">
        <v>45778</v>
      </c>
      <c r="Z210" s="91">
        <v>45961</v>
      </c>
      <c r="AA210" s="88"/>
      <c r="AB210" s="88"/>
      <c r="AC210" s="92">
        <v>45953.504861111112</v>
      </c>
    </row>
    <row r="211" spans="1:29" customFormat="1" ht="16" x14ac:dyDescent="0.2">
      <c r="A211" s="90" t="s">
        <v>1</v>
      </c>
      <c r="B211" s="90" t="s">
        <v>1188</v>
      </c>
      <c r="C211" s="90" t="s">
        <v>1189</v>
      </c>
      <c r="D211" s="91">
        <v>27124</v>
      </c>
      <c r="E211" s="90">
        <v>51</v>
      </c>
      <c r="F211" s="90" t="s">
        <v>11</v>
      </c>
      <c r="G211" s="90" t="s">
        <v>10</v>
      </c>
      <c r="H211" s="90" t="s">
        <v>10</v>
      </c>
      <c r="I211" s="91">
        <v>42917</v>
      </c>
      <c r="J211" s="90" t="s">
        <v>262</v>
      </c>
      <c r="K211" s="90" t="s">
        <v>1046</v>
      </c>
      <c r="L211" s="90" t="s">
        <v>7</v>
      </c>
      <c r="M211" s="90" t="s">
        <v>6</v>
      </c>
      <c r="N211" s="88"/>
      <c r="O211" s="91">
        <v>45784</v>
      </c>
      <c r="P211" s="91">
        <v>45791</v>
      </c>
      <c r="Q211" s="91">
        <v>45793</v>
      </c>
      <c r="R211" s="91">
        <v>45813</v>
      </c>
      <c r="S211" s="91">
        <v>45813</v>
      </c>
      <c r="T211" s="88"/>
      <c r="U211" s="90" t="s">
        <v>319</v>
      </c>
      <c r="V211" s="90" t="s">
        <v>32</v>
      </c>
      <c r="W211" s="90">
        <v>1</v>
      </c>
      <c r="X211" s="90" t="s">
        <v>228</v>
      </c>
      <c r="Y211" s="91">
        <v>45809</v>
      </c>
      <c r="Z211" s="91">
        <v>45991</v>
      </c>
      <c r="AA211" s="88"/>
      <c r="AB211" s="88"/>
      <c r="AC211" s="92">
        <v>45952.681944444441</v>
      </c>
    </row>
    <row r="212" spans="1:29" customFormat="1" ht="16" x14ac:dyDescent="0.2">
      <c r="A212" s="90" t="s">
        <v>0</v>
      </c>
      <c r="B212" s="90" t="s">
        <v>252</v>
      </c>
      <c r="C212" s="90" t="s">
        <v>1190</v>
      </c>
      <c r="D212" s="91">
        <v>27301</v>
      </c>
      <c r="E212" s="90">
        <v>51</v>
      </c>
      <c r="F212" s="90" t="s">
        <v>11</v>
      </c>
      <c r="G212" s="90" t="s">
        <v>11</v>
      </c>
      <c r="H212" s="90" t="s">
        <v>10</v>
      </c>
      <c r="I212" s="91">
        <v>44866</v>
      </c>
      <c r="J212" s="90" t="s">
        <v>1191</v>
      </c>
      <c r="K212" s="90" t="s">
        <v>1192</v>
      </c>
      <c r="L212" s="90" t="s">
        <v>5</v>
      </c>
      <c r="M212" s="90" t="s">
        <v>6</v>
      </c>
      <c r="N212" s="90" t="s">
        <v>117</v>
      </c>
      <c r="O212" s="91">
        <v>45783</v>
      </c>
      <c r="P212" s="91">
        <v>45783</v>
      </c>
      <c r="Q212" s="91">
        <v>45784</v>
      </c>
      <c r="R212" s="91">
        <v>45791</v>
      </c>
      <c r="S212" s="91">
        <v>45791</v>
      </c>
      <c r="T212" s="91">
        <v>45951</v>
      </c>
      <c r="U212" s="90" t="s">
        <v>218</v>
      </c>
      <c r="V212" s="90" t="s">
        <v>224</v>
      </c>
      <c r="W212" s="90">
        <v>1</v>
      </c>
      <c r="X212" s="90" t="s">
        <v>228</v>
      </c>
      <c r="Y212" s="91">
        <v>45778</v>
      </c>
      <c r="Z212" s="91">
        <v>45961</v>
      </c>
      <c r="AA212" s="88"/>
      <c r="AB212" s="88"/>
      <c r="AC212" s="92">
        <v>45951.672222222223</v>
      </c>
    </row>
    <row r="213" spans="1:29" customFormat="1" ht="16" x14ac:dyDescent="0.2">
      <c r="A213" s="90" t="s">
        <v>1</v>
      </c>
      <c r="B213" s="90" t="s">
        <v>239</v>
      </c>
      <c r="C213" s="90" t="s">
        <v>1193</v>
      </c>
      <c r="D213" s="91">
        <v>28371</v>
      </c>
      <c r="E213" s="90">
        <v>48</v>
      </c>
      <c r="F213" s="90" t="s">
        <v>10</v>
      </c>
      <c r="G213" s="90" t="s">
        <v>11</v>
      </c>
      <c r="H213" s="90" t="s">
        <v>10</v>
      </c>
      <c r="I213" s="91">
        <v>45047</v>
      </c>
      <c r="J213" s="90" t="s">
        <v>845</v>
      </c>
      <c r="K213" s="90" t="s">
        <v>846</v>
      </c>
      <c r="L213" s="90" t="s">
        <v>4</v>
      </c>
      <c r="M213" s="90" t="s">
        <v>6</v>
      </c>
      <c r="N213" s="90" t="s">
        <v>120</v>
      </c>
      <c r="O213" s="91">
        <v>45783</v>
      </c>
      <c r="P213" s="91">
        <v>45790</v>
      </c>
      <c r="Q213" s="91">
        <v>45796</v>
      </c>
      <c r="R213" s="91">
        <v>45827</v>
      </c>
      <c r="S213" s="91">
        <v>45827</v>
      </c>
      <c r="T213" s="88"/>
      <c r="U213" s="90" t="s">
        <v>320</v>
      </c>
      <c r="V213" s="90" t="s">
        <v>32</v>
      </c>
      <c r="W213" s="90">
        <v>1</v>
      </c>
      <c r="X213" s="90" t="s">
        <v>228</v>
      </c>
      <c r="Y213" s="91">
        <v>45809</v>
      </c>
      <c r="Z213" s="91">
        <v>45991</v>
      </c>
      <c r="AA213" s="88"/>
      <c r="AB213" s="88"/>
      <c r="AC213" s="92">
        <v>45891.612500000003</v>
      </c>
    </row>
    <row r="214" spans="1:29" customFormat="1" ht="16" x14ac:dyDescent="0.2">
      <c r="A214" s="90" t="s">
        <v>1</v>
      </c>
      <c r="B214" s="90" t="s">
        <v>1194</v>
      </c>
      <c r="C214" s="90" t="s">
        <v>1195</v>
      </c>
      <c r="D214" s="91">
        <v>36970</v>
      </c>
      <c r="E214" s="90">
        <v>24</v>
      </c>
      <c r="F214" s="90" t="s">
        <v>11</v>
      </c>
      <c r="G214" s="90" t="s">
        <v>11</v>
      </c>
      <c r="H214" s="90" t="s">
        <v>11</v>
      </c>
      <c r="I214" s="88"/>
      <c r="J214" s="90" t="s">
        <v>539</v>
      </c>
      <c r="K214" s="90" t="s">
        <v>391</v>
      </c>
      <c r="L214" s="90" t="s">
        <v>7</v>
      </c>
      <c r="M214" s="90" t="s">
        <v>9</v>
      </c>
      <c r="N214" s="90" t="s">
        <v>225</v>
      </c>
      <c r="O214" s="91">
        <v>45783</v>
      </c>
      <c r="P214" s="91">
        <v>45791</v>
      </c>
      <c r="Q214" s="91">
        <v>45793</v>
      </c>
      <c r="R214" s="91">
        <v>45831</v>
      </c>
      <c r="S214" s="91">
        <v>45831</v>
      </c>
      <c r="T214" s="91">
        <v>45831</v>
      </c>
      <c r="U214" s="90" t="s">
        <v>92</v>
      </c>
      <c r="V214" s="90" t="s">
        <v>224</v>
      </c>
      <c r="W214" s="90">
        <v>1</v>
      </c>
      <c r="X214" s="90" t="s">
        <v>228</v>
      </c>
      <c r="Y214" s="88"/>
      <c r="Z214" s="88"/>
      <c r="AA214" s="88"/>
      <c r="AB214" s="88"/>
      <c r="AC214" s="92">
        <v>45841.326388888891</v>
      </c>
    </row>
    <row r="215" spans="1:29" customFormat="1" ht="16" x14ac:dyDescent="0.2">
      <c r="A215" s="90" t="s">
        <v>0</v>
      </c>
      <c r="B215" s="90" t="s">
        <v>1196</v>
      </c>
      <c r="C215" s="90" t="s">
        <v>1197</v>
      </c>
      <c r="D215" s="91">
        <v>33474</v>
      </c>
      <c r="E215" s="90">
        <v>34</v>
      </c>
      <c r="F215" s="90" t="s">
        <v>11</v>
      </c>
      <c r="G215" s="90" t="s">
        <v>10</v>
      </c>
      <c r="H215" s="90" t="s">
        <v>10</v>
      </c>
      <c r="I215" s="91">
        <v>45108</v>
      </c>
      <c r="J215" s="90" t="s">
        <v>304</v>
      </c>
      <c r="K215" s="90" t="s">
        <v>1144</v>
      </c>
      <c r="L215" s="90" t="s">
        <v>4</v>
      </c>
      <c r="M215" s="90" t="s">
        <v>6</v>
      </c>
      <c r="N215" s="88"/>
      <c r="O215" s="91">
        <v>45782</v>
      </c>
      <c r="P215" s="88"/>
      <c r="Q215" s="88"/>
      <c r="R215" s="88"/>
      <c r="S215" s="88"/>
      <c r="T215" s="88"/>
      <c r="U215" s="88"/>
      <c r="V215" s="90" t="s">
        <v>227</v>
      </c>
      <c r="W215" s="90">
        <v>0</v>
      </c>
      <c r="X215" s="88"/>
      <c r="Y215" s="88"/>
      <c r="Z215" s="88"/>
      <c r="AA215" s="88"/>
      <c r="AB215" s="88"/>
      <c r="AC215" s="92">
        <v>45792.611111111109</v>
      </c>
    </row>
    <row r="216" spans="1:29" customFormat="1" ht="16" x14ac:dyDescent="0.2">
      <c r="A216" s="90" t="s">
        <v>0</v>
      </c>
      <c r="B216" s="90" t="s">
        <v>488</v>
      </c>
      <c r="C216" s="90" t="s">
        <v>1198</v>
      </c>
      <c r="D216" s="91">
        <v>24441</v>
      </c>
      <c r="E216" s="90">
        <v>59</v>
      </c>
      <c r="F216" s="90" t="s">
        <v>10</v>
      </c>
      <c r="G216" s="90" t="s">
        <v>10</v>
      </c>
      <c r="H216" s="90" t="s">
        <v>10</v>
      </c>
      <c r="I216" s="91">
        <v>45139</v>
      </c>
      <c r="J216" s="90" t="s">
        <v>1199</v>
      </c>
      <c r="K216" s="90" t="s">
        <v>1200</v>
      </c>
      <c r="L216" s="90" t="s">
        <v>4</v>
      </c>
      <c r="M216" s="90" t="s">
        <v>6</v>
      </c>
      <c r="N216" s="90" t="s">
        <v>225</v>
      </c>
      <c r="O216" s="91">
        <v>45782</v>
      </c>
      <c r="P216" s="91">
        <v>45790</v>
      </c>
      <c r="Q216" s="91">
        <v>45792</v>
      </c>
      <c r="R216" s="91">
        <v>45799</v>
      </c>
      <c r="S216" s="91">
        <v>45799</v>
      </c>
      <c r="T216" s="91">
        <v>45805</v>
      </c>
      <c r="U216" s="90" t="s">
        <v>712</v>
      </c>
      <c r="V216" s="90" t="s">
        <v>224</v>
      </c>
      <c r="W216" s="90">
        <v>1</v>
      </c>
      <c r="X216" s="90" t="s">
        <v>228</v>
      </c>
      <c r="Y216" s="88"/>
      <c r="Z216" s="88"/>
      <c r="AA216" s="88"/>
      <c r="AB216" s="88"/>
      <c r="AC216" s="92">
        <v>45952.82708333333</v>
      </c>
    </row>
    <row r="217" spans="1:29" customFormat="1" ht="16" x14ac:dyDescent="0.2">
      <c r="A217" s="90" t="s">
        <v>1</v>
      </c>
      <c r="B217" s="90" t="s">
        <v>1027</v>
      </c>
      <c r="C217" s="90" t="s">
        <v>1028</v>
      </c>
      <c r="D217" s="91">
        <v>33763</v>
      </c>
      <c r="E217" s="90">
        <v>33</v>
      </c>
      <c r="F217" s="90" t="s">
        <v>10</v>
      </c>
      <c r="G217" s="90" t="s">
        <v>10</v>
      </c>
      <c r="H217" s="90" t="s">
        <v>10</v>
      </c>
      <c r="I217" s="91">
        <v>45292</v>
      </c>
      <c r="J217" s="90" t="s">
        <v>148</v>
      </c>
      <c r="K217" s="90" t="s">
        <v>1029</v>
      </c>
      <c r="L217" s="90" t="s">
        <v>4</v>
      </c>
      <c r="M217" s="90" t="s">
        <v>6</v>
      </c>
      <c r="N217" s="90" t="s">
        <v>119</v>
      </c>
      <c r="O217" s="91">
        <v>45777</v>
      </c>
      <c r="P217" s="91">
        <v>45790</v>
      </c>
      <c r="Q217" s="91">
        <v>45792</v>
      </c>
      <c r="R217" s="91">
        <v>45810</v>
      </c>
      <c r="S217" s="91">
        <v>45810</v>
      </c>
      <c r="T217" s="88"/>
      <c r="U217" s="90" t="s">
        <v>407</v>
      </c>
      <c r="V217" s="90" t="s">
        <v>32</v>
      </c>
      <c r="W217" s="90">
        <v>1</v>
      </c>
      <c r="X217" s="90" t="s">
        <v>228</v>
      </c>
      <c r="Y217" s="91">
        <v>45809</v>
      </c>
      <c r="Z217" s="91">
        <v>45991</v>
      </c>
      <c r="AA217" s="88"/>
      <c r="AB217" s="88"/>
      <c r="AC217" s="92">
        <v>45957.606249999997</v>
      </c>
    </row>
    <row r="218" spans="1:29" customFormat="1" ht="16" x14ac:dyDescent="0.2">
      <c r="A218" s="90" t="s">
        <v>1</v>
      </c>
      <c r="B218" s="90" t="s">
        <v>358</v>
      </c>
      <c r="C218" s="90" t="s">
        <v>1030</v>
      </c>
      <c r="D218" s="91">
        <v>28775</v>
      </c>
      <c r="E218" s="90">
        <v>47</v>
      </c>
      <c r="F218" s="90" t="s">
        <v>11</v>
      </c>
      <c r="G218" s="90" t="s">
        <v>11</v>
      </c>
      <c r="H218" s="90" t="s">
        <v>10</v>
      </c>
      <c r="I218" s="91">
        <v>43466</v>
      </c>
      <c r="J218" s="90" t="s">
        <v>151</v>
      </c>
      <c r="K218" s="90" t="s">
        <v>152</v>
      </c>
      <c r="L218" s="90" t="s">
        <v>3</v>
      </c>
      <c r="M218" s="90" t="s">
        <v>6</v>
      </c>
      <c r="N218" s="90" t="s">
        <v>119</v>
      </c>
      <c r="O218" s="91">
        <v>45777</v>
      </c>
      <c r="P218" s="91">
        <v>45789</v>
      </c>
      <c r="Q218" s="91">
        <v>45791</v>
      </c>
      <c r="R218" s="91">
        <v>45819</v>
      </c>
      <c r="S218" s="91">
        <v>45819</v>
      </c>
      <c r="T218" s="88"/>
      <c r="U218" s="88"/>
      <c r="V218" s="90" t="s">
        <v>32</v>
      </c>
      <c r="W218" s="90">
        <v>1</v>
      </c>
      <c r="X218" s="90" t="s">
        <v>118</v>
      </c>
      <c r="Y218" s="91">
        <v>45809</v>
      </c>
      <c r="Z218" s="91">
        <v>45991</v>
      </c>
      <c r="AA218" s="88"/>
      <c r="AB218" s="88"/>
      <c r="AC218" s="92">
        <v>45819.397222222222</v>
      </c>
    </row>
    <row r="219" spans="1:29" customFormat="1" ht="16" x14ac:dyDescent="0.2">
      <c r="A219" s="90" t="s">
        <v>0</v>
      </c>
      <c r="B219" s="90" t="s">
        <v>557</v>
      </c>
      <c r="C219" s="90" t="s">
        <v>1031</v>
      </c>
      <c r="D219" s="91">
        <v>24354</v>
      </c>
      <c r="E219" s="90">
        <v>59</v>
      </c>
      <c r="F219" s="90" t="s">
        <v>11</v>
      </c>
      <c r="G219" s="90" t="s">
        <v>10</v>
      </c>
      <c r="H219" s="90" t="s">
        <v>10</v>
      </c>
      <c r="I219" s="91">
        <v>39965</v>
      </c>
      <c r="J219" s="90" t="s">
        <v>347</v>
      </c>
      <c r="K219" s="90" t="s">
        <v>348</v>
      </c>
      <c r="L219" s="90" t="s">
        <v>4</v>
      </c>
      <c r="M219" s="90" t="s">
        <v>6</v>
      </c>
      <c r="N219" s="88"/>
      <c r="O219" s="91">
        <v>45776</v>
      </c>
      <c r="P219" s="88"/>
      <c r="Q219" s="88"/>
      <c r="R219" s="88"/>
      <c r="S219" s="88"/>
      <c r="T219" s="88"/>
      <c r="U219" s="88"/>
      <c r="V219" s="90" t="s">
        <v>227</v>
      </c>
      <c r="W219" s="90">
        <v>0</v>
      </c>
      <c r="X219" s="88"/>
      <c r="Y219" s="88"/>
      <c r="Z219" s="88"/>
      <c r="AA219" s="88"/>
      <c r="AB219" s="88"/>
      <c r="AC219" s="92">
        <v>45790.645833333336</v>
      </c>
    </row>
    <row r="220" spans="1:29" customFormat="1" ht="16" x14ac:dyDescent="0.2">
      <c r="A220" s="90" t="s">
        <v>1</v>
      </c>
      <c r="B220" s="90" t="s">
        <v>1032</v>
      </c>
      <c r="C220" s="90" t="s">
        <v>1033</v>
      </c>
      <c r="D220" s="91">
        <v>27123</v>
      </c>
      <c r="E220" s="90">
        <v>51</v>
      </c>
      <c r="F220" s="88"/>
      <c r="G220" s="90" t="s">
        <v>10</v>
      </c>
      <c r="H220" s="90" t="s">
        <v>10</v>
      </c>
      <c r="I220" s="91">
        <v>43160</v>
      </c>
      <c r="J220" s="90" t="s">
        <v>583</v>
      </c>
      <c r="K220" s="90" t="s">
        <v>332</v>
      </c>
      <c r="L220" s="90" t="s">
        <v>3</v>
      </c>
      <c r="M220" s="90" t="s">
        <v>6</v>
      </c>
      <c r="N220" s="90" t="s">
        <v>119</v>
      </c>
      <c r="O220" s="91">
        <v>45776</v>
      </c>
      <c r="P220" s="91">
        <v>45776</v>
      </c>
      <c r="Q220" s="91">
        <v>45792</v>
      </c>
      <c r="R220" s="91">
        <v>45818</v>
      </c>
      <c r="S220" s="91">
        <v>45846</v>
      </c>
      <c r="T220" s="88"/>
      <c r="U220" s="88"/>
      <c r="V220" s="90" t="s">
        <v>32</v>
      </c>
      <c r="W220" s="90">
        <v>2</v>
      </c>
      <c r="X220" s="90" t="s">
        <v>228</v>
      </c>
      <c r="Y220" s="91">
        <v>45839</v>
      </c>
      <c r="Z220" s="91">
        <v>46022</v>
      </c>
      <c r="AA220" s="88"/>
      <c r="AB220" s="88"/>
      <c r="AC220" s="92">
        <v>45874.380555555559</v>
      </c>
    </row>
    <row r="221" spans="1:29" customFormat="1" ht="16" x14ac:dyDescent="0.2">
      <c r="A221" s="90" t="s">
        <v>1</v>
      </c>
      <c r="B221" s="90" t="s">
        <v>1034</v>
      </c>
      <c r="C221" s="90" t="s">
        <v>1035</v>
      </c>
      <c r="D221" s="91">
        <v>27478</v>
      </c>
      <c r="E221" s="90">
        <v>50</v>
      </c>
      <c r="F221" s="90" t="s">
        <v>11</v>
      </c>
      <c r="G221" s="90" t="s">
        <v>10</v>
      </c>
      <c r="H221" s="90" t="s">
        <v>10</v>
      </c>
      <c r="I221" s="91">
        <v>41275</v>
      </c>
      <c r="J221" s="90" t="s">
        <v>275</v>
      </c>
      <c r="K221" s="90" t="s">
        <v>115</v>
      </c>
      <c r="L221" s="90" t="s">
        <v>4</v>
      </c>
      <c r="M221" s="90" t="s">
        <v>6</v>
      </c>
      <c r="N221" s="88"/>
      <c r="O221" s="91">
        <v>45775</v>
      </c>
      <c r="P221" s="88"/>
      <c r="Q221" s="88"/>
      <c r="R221" s="88"/>
      <c r="S221" s="88"/>
      <c r="T221" s="88"/>
      <c r="U221" s="88"/>
      <c r="V221" s="90" t="s">
        <v>227</v>
      </c>
      <c r="W221" s="90">
        <v>0</v>
      </c>
      <c r="X221" s="88"/>
      <c r="Y221" s="88"/>
      <c r="Z221" s="88"/>
      <c r="AA221" s="88"/>
      <c r="AB221" s="88"/>
      <c r="AC221" s="92">
        <v>45790.645833333336</v>
      </c>
    </row>
    <row r="222" spans="1:29" customFormat="1" ht="16" x14ac:dyDescent="0.2">
      <c r="A222" s="90" t="s">
        <v>0</v>
      </c>
      <c r="B222" s="90" t="s">
        <v>257</v>
      </c>
      <c r="C222" s="90" t="s">
        <v>1036</v>
      </c>
      <c r="D222" s="91">
        <v>30954</v>
      </c>
      <c r="E222" s="90">
        <v>41</v>
      </c>
      <c r="F222" s="90" t="s">
        <v>11</v>
      </c>
      <c r="G222" s="90" t="s">
        <v>11</v>
      </c>
      <c r="H222" s="90" t="s">
        <v>10</v>
      </c>
      <c r="I222" s="91">
        <v>44409</v>
      </c>
      <c r="J222" s="90" t="s">
        <v>446</v>
      </c>
      <c r="K222" s="90" t="s">
        <v>447</v>
      </c>
      <c r="L222" s="90" t="s">
        <v>7</v>
      </c>
      <c r="M222" s="90" t="s">
        <v>396</v>
      </c>
      <c r="N222" s="90" t="s">
        <v>120</v>
      </c>
      <c r="O222" s="91">
        <v>45775</v>
      </c>
      <c r="P222" s="91">
        <v>45783</v>
      </c>
      <c r="Q222" s="91">
        <v>45797</v>
      </c>
      <c r="R222" s="91">
        <v>45820</v>
      </c>
      <c r="S222" s="91">
        <v>45820</v>
      </c>
      <c r="T222" s="88"/>
      <c r="U222" s="88"/>
      <c r="V222" s="90" t="s">
        <v>32</v>
      </c>
      <c r="W222" s="90">
        <v>2</v>
      </c>
      <c r="X222" s="90" t="s">
        <v>228</v>
      </c>
      <c r="Y222" s="91">
        <v>45809</v>
      </c>
      <c r="Z222" s="91">
        <v>45991</v>
      </c>
      <c r="AA222" s="88"/>
      <c r="AB222" s="88"/>
      <c r="AC222" s="92">
        <v>45946.520138888889</v>
      </c>
    </row>
    <row r="223" spans="1:29" customFormat="1" ht="16" x14ac:dyDescent="0.2">
      <c r="A223" s="90" t="s">
        <v>1</v>
      </c>
      <c r="B223" s="90" t="s">
        <v>161</v>
      </c>
      <c r="C223" s="90" t="s">
        <v>649</v>
      </c>
      <c r="D223" s="91">
        <v>25907</v>
      </c>
      <c r="E223" s="90">
        <v>55</v>
      </c>
      <c r="F223" s="90" t="s">
        <v>11</v>
      </c>
      <c r="G223" s="90" t="s">
        <v>11</v>
      </c>
      <c r="H223" s="90" t="s">
        <v>10</v>
      </c>
      <c r="I223" s="91">
        <v>45323</v>
      </c>
      <c r="J223" s="90" t="s">
        <v>165</v>
      </c>
      <c r="K223" s="90" t="s">
        <v>166</v>
      </c>
      <c r="L223" s="90" t="s">
        <v>3</v>
      </c>
      <c r="M223" s="90" t="s">
        <v>6</v>
      </c>
      <c r="N223" s="90" t="s">
        <v>174</v>
      </c>
      <c r="O223" s="91">
        <v>45775</v>
      </c>
      <c r="P223" s="91">
        <v>45789</v>
      </c>
      <c r="Q223" s="91">
        <v>45810</v>
      </c>
      <c r="R223" s="91">
        <v>45839</v>
      </c>
      <c r="S223" s="91">
        <v>45810</v>
      </c>
      <c r="T223" s="88"/>
      <c r="U223" s="88"/>
      <c r="V223" s="90" t="s">
        <v>32</v>
      </c>
      <c r="W223" s="90">
        <v>1</v>
      </c>
      <c r="X223" s="90" t="s">
        <v>118</v>
      </c>
      <c r="Y223" s="91">
        <v>45809</v>
      </c>
      <c r="Z223" s="91">
        <v>45991</v>
      </c>
      <c r="AA223" s="88"/>
      <c r="AB223" s="88"/>
      <c r="AC223" s="92">
        <v>45810.461805555555</v>
      </c>
    </row>
    <row r="224" spans="1:29" customFormat="1" ht="16" x14ac:dyDescent="0.2">
      <c r="A224" s="90" t="s">
        <v>0</v>
      </c>
      <c r="B224" s="90" t="s">
        <v>1037</v>
      </c>
      <c r="C224" s="90" t="s">
        <v>1038</v>
      </c>
      <c r="D224" s="91">
        <v>27260</v>
      </c>
      <c r="E224" s="90">
        <v>51</v>
      </c>
      <c r="F224" s="90" t="s">
        <v>11</v>
      </c>
      <c r="G224" s="90" t="s">
        <v>10</v>
      </c>
      <c r="H224" s="90" t="s">
        <v>10</v>
      </c>
      <c r="I224" s="91">
        <v>42767</v>
      </c>
      <c r="J224" s="90" t="s">
        <v>734</v>
      </c>
      <c r="K224" s="90" t="s">
        <v>735</v>
      </c>
      <c r="L224" s="90" t="s">
        <v>4</v>
      </c>
      <c r="M224" s="90" t="s">
        <v>6</v>
      </c>
      <c r="N224" s="88"/>
      <c r="O224" s="91">
        <v>45775</v>
      </c>
      <c r="P224" s="88"/>
      <c r="Q224" s="88"/>
      <c r="R224" s="88"/>
      <c r="S224" s="88"/>
      <c r="T224" s="88"/>
      <c r="U224" s="88"/>
      <c r="V224" s="90" t="s">
        <v>227</v>
      </c>
      <c r="W224" s="90">
        <v>0</v>
      </c>
      <c r="X224" s="88"/>
      <c r="Y224" s="88"/>
      <c r="Z224" s="88"/>
      <c r="AA224" s="88"/>
      <c r="AB224" s="88"/>
      <c r="AC224" s="92">
        <v>45790.645138888889</v>
      </c>
    </row>
    <row r="225" spans="1:29" customFormat="1" ht="16" x14ac:dyDescent="0.2">
      <c r="A225" s="90" t="s">
        <v>0</v>
      </c>
      <c r="B225" s="90" t="s">
        <v>8</v>
      </c>
      <c r="C225" s="90" t="s">
        <v>501</v>
      </c>
      <c r="D225" s="91">
        <v>28894</v>
      </c>
      <c r="E225" s="90">
        <v>46</v>
      </c>
      <c r="F225" s="90" t="s">
        <v>10</v>
      </c>
      <c r="G225" s="90" t="s">
        <v>11</v>
      </c>
      <c r="H225" s="90" t="s">
        <v>10</v>
      </c>
      <c r="I225" s="88"/>
      <c r="J225" s="90" t="s">
        <v>145</v>
      </c>
      <c r="K225" s="90" t="s">
        <v>146</v>
      </c>
      <c r="L225" s="90" t="s">
        <v>3</v>
      </c>
      <c r="M225" s="90" t="s">
        <v>6</v>
      </c>
      <c r="N225" s="90" t="s">
        <v>119</v>
      </c>
      <c r="O225" s="91">
        <v>45772</v>
      </c>
      <c r="P225" s="91">
        <v>45775</v>
      </c>
      <c r="Q225" s="91">
        <v>45790</v>
      </c>
      <c r="R225" s="91">
        <v>45805</v>
      </c>
      <c r="S225" s="91">
        <v>45805</v>
      </c>
      <c r="T225" s="88"/>
      <c r="U225" s="90" t="s">
        <v>91</v>
      </c>
      <c r="V225" s="90" t="s">
        <v>32</v>
      </c>
      <c r="W225" s="90">
        <v>1</v>
      </c>
      <c r="X225" s="90" t="s">
        <v>118</v>
      </c>
      <c r="Y225" s="91">
        <v>45778</v>
      </c>
      <c r="Z225" s="91">
        <v>45961</v>
      </c>
      <c r="AA225" s="88"/>
      <c r="AB225" s="88"/>
      <c r="AC225" s="92">
        <v>45941.387499999997</v>
      </c>
    </row>
    <row r="226" spans="1:29" customFormat="1" ht="16" x14ac:dyDescent="0.2">
      <c r="A226" s="90" t="s">
        <v>1</v>
      </c>
      <c r="B226" s="90" t="s">
        <v>486</v>
      </c>
      <c r="C226" s="90" t="s">
        <v>1039</v>
      </c>
      <c r="D226" s="91">
        <v>25139</v>
      </c>
      <c r="E226" s="90">
        <v>57</v>
      </c>
      <c r="F226" s="90" t="s">
        <v>11</v>
      </c>
      <c r="G226" s="90" t="s">
        <v>10</v>
      </c>
      <c r="H226" s="90" t="s">
        <v>10</v>
      </c>
      <c r="I226" s="91">
        <v>45536</v>
      </c>
      <c r="J226" s="90" t="s">
        <v>1040</v>
      </c>
      <c r="K226" s="90" t="s">
        <v>1041</v>
      </c>
      <c r="L226" s="90" t="s">
        <v>3</v>
      </c>
      <c r="M226" s="90" t="s">
        <v>396</v>
      </c>
      <c r="N226" s="90" t="s">
        <v>119</v>
      </c>
      <c r="O226" s="91">
        <v>45771</v>
      </c>
      <c r="P226" s="91">
        <v>45775</v>
      </c>
      <c r="Q226" s="91">
        <v>45782</v>
      </c>
      <c r="R226" s="91">
        <v>45804</v>
      </c>
      <c r="S226" s="91">
        <v>45804</v>
      </c>
      <c r="T226" s="88"/>
      <c r="U226" s="88"/>
      <c r="V226" s="90" t="s">
        <v>32</v>
      </c>
      <c r="W226" s="90">
        <v>1</v>
      </c>
      <c r="X226" s="90" t="s">
        <v>118</v>
      </c>
      <c r="Y226" s="91">
        <v>45778</v>
      </c>
      <c r="Z226" s="91">
        <v>45961</v>
      </c>
      <c r="AA226" s="88"/>
      <c r="AB226" s="88"/>
      <c r="AC226" s="92">
        <v>45804.609027777777</v>
      </c>
    </row>
    <row r="227" spans="1:29" customFormat="1" ht="16" x14ac:dyDescent="0.2">
      <c r="A227" s="90" t="s">
        <v>1</v>
      </c>
      <c r="B227" s="90" t="s">
        <v>486</v>
      </c>
      <c r="C227" s="90" t="s">
        <v>1042</v>
      </c>
      <c r="D227" s="91">
        <v>31777</v>
      </c>
      <c r="E227" s="90">
        <v>39</v>
      </c>
      <c r="F227" s="90" t="s">
        <v>11</v>
      </c>
      <c r="G227" s="90" t="s">
        <v>10</v>
      </c>
      <c r="H227" s="90" t="s">
        <v>10</v>
      </c>
      <c r="I227" s="91">
        <v>44440</v>
      </c>
      <c r="J227" s="90" t="s">
        <v>347</v>
      </c>
      <c r="K227" s="90" t="s">
        <v>348</v>
      </c>
      <c r="L227" s="90" t="s">
        <v>4</v>
      </c>
      <c r="M227" s="90" t="s">
        <v>6</v>
      </c>
      <c r="N227" s="90" t="s">
        <v>120</v>
      </c>
      <c r="O227" s="91">
        <v>45771</v>
      </c>
      <c r="P227" s="91">
        <v>45790</v>
      </c>
      <c r="Q227" s="91">
        <v>45792</v>
      </c>
      <c r="R227" s="91">
        <v>45810</v>
      </c>
      <c r="S227" s="91">
        <v>45810</v>
      </c>
      <c r="T227" s="88"/>
      <c r="U227" s="90" t="s">
        <v>320</v>
      </c>
      <c r="V227" s="90" t="s">
        <v>32</v>
      </c>
      <c r="W227" s="90">
        <v>2</v>
      </c>
      <c r="X227" s="90" t="s">
        <v>228</v>
      </c>
      <c r="Y227" s="91">
        <v>45809</v>
      </c>
      <c r="Z227" s="91">
        <v>45991</v>
      </c>
      <c r="AA227" s="88"/>
      <c r="AB227" s="88"/>
      <c r="AC227" s="92">
        <v>45810.600694444445</v>
      </c>
    </row>
    <row r="228" spans="1:29" customFormat="1" ht="16" x14ac:dyDescent="0.2">
      <c r="A228" s="90" t="s">
        <v>1</v>
      </c>
      <c r="B228" s="90" t="s">
        <v>313</v>
      </c>
      <c r="C228" s="90" t="s">
        <v>1043</v>
      </c>
      <c r="D228" s="91">
        <v>27254</v>
      </c>
      <c r="E228" s="90">
        <v>51</v>
      </c>
      <c r="F228" s="90" t="s">
        <v>11</v>
      </c>
      <c r="G228" s="90" t="s">
        <v>10</v>
      </c>
      <c r="H228" s="90" t="s">
        <v>10</v>
      </c>
      <c r="I228" s="91">
        <v>44228</v>
      </c>
      <c r="J228" s="90" t="s">
        <v>485</v>
      </c>
      <c r="K228" s="90" t="s">
        <v>211</v>
      </c>
      <c r="L228" s="90" t="s">
        <v>7</v>
      </c>
      <c r="M228" s="90" t="s">
        <v>6</v>
      </c>
      <c r="N228" s="90" t="s">
        <v>226</v>
      </c>
      <c r="O228" s="91">
        <v>45771</v>
      </c>
      <c r="P228" s="91">
        <v>45772</v>
      </c>
      <c r="Q228" s="91">
        <v>45790</v>
      </c>
      <c r="R228" s="91">
        <v>45811</v>
      </c>
      <c r="S228" s="91">
        <v>45811</v>
      </c>
      <c r="T228" s="88"/>
      <c r="U228" s="88"/>
      <c r="V228" s="90" t="s">
        <v>32</v>
      </c>
      <c r="W228" s="90">
        <v>1</v>
      </c>
      <c r="X228" s="90" t="s">
        <v>228</v>
      </c>
      <c r="Y228" s="91">
        <v>45809</v>
      </c>
      <c r="Z228" s="91">
        <v>45991</v>
      </c>
      <c r="AA228" s="88"/>
      <c r="AB228" s="88"/>
      <c r="AC228" s="92">
        <v>45954.602083333331</v>
      </c>
    </row>
    <row r="229" spans="1:29" customFormat="1" ht="16" x14ac:dyDescent="0.2">
      <c r="A229" s="90" t="s">
        <v>1</v>
      </c>
      <c r="B229" s="90" t="s">
        <v>1044</v>
      </c>
      <c r="C229" s="90" t="s">
        <v>1045</v>
      </c>
      <c r="D229" s="91">
        <v>24568</v>
      </c>
      <c r="E229" s="90">
        <v>58</v>
      </c>
      <c r="F229" s="90" t="s">
        <v>10</v>
      </c>
      <c r="G229" s="90" t="s">
        <v>11</v>
      </c>
      <c r="H229" s="90" t="s">
        <v>10</v>
      </c>
      <c r="I229" s="91">
        <v>44013</v>
      </c>
      <c r="J229" s="90" t="s">
        <v>262</v>
      </c>
      <c r="K229" s="90" t="s">
        <v>1046</v>
      </c>
      <c r="L229" s="90" t="s">
        <v>7</v>
      </c>
      <c r="M229" s="90" t="s">
        <v>6</v>
      </c>
      <c r="N229" s="90" t="s">
        <v>119</v>
      </c>
      <c r="O229" s="91">
        <v>45770</v>
      </c>
      <c r="P229" s="91">
        <v>45772</v>
      </c>
      <c r="Q229" s="91">
        <v>45790</v>
      </c>
      <c r="R229" s="91">
        <v>45804</v>
      </c>
      <c r="S229" s="91">
        <v>45804</v>
      </c>
      <c r="T229" s="91">
        <v>45804</v>
      </c>
      <c r="U229" s="90" t="s">
        <v>408</v>
      </c>
      <c r="V229" s="90" t="s">
        <v>224</v>
      </c>
      <c r="W229" s="90">
        <v>1</v>
      </c>
      <c r="X229" s="90" t="s">
        <v>228</v>
      </c>
      <c r="Y229" s="88"/>
      <c r="Z229" s="88"/>
      <c r="AA229" s="88"/>
      <c r="AB229" s="88"/>
      <c r="AC229" s="92">
        <v>45902.491666666669</v>
      </c>
    </row>
    <row r="230" spans="1:29" customFormat="1" ht="16" x14ac:dyDescent="0.2">
      <c r="A230" s="90" t="s">
        <v>1</v>
      </c>
      <c r="B230" s="90" t="s">
        <v>271</v>
      </c>
      <c r="C230" s="90" t="s">
        <v>1047</v>
      </c>
      <c r="D230" s="91">
        <v>30530</v>
      </c>
      <c r="E230" s="90">
        <v>42</v>
      </c>
      <c r="F230" s="90" t="s">
        <v>11</v>
      </c>
      <c r="G230" s="90" t="s">
        <v>10</v>
      </c>
      <c r="H230" s="90" t="s">
        <v>10</v>
      </c>
      <c r="I230" s="91">
        <v>45261</v>
      </c>
      <c r="J230" s="90" t="s">
        <v>276</v>
      </c>
      <c r="K230" s="90" t="s">
        <v>169</v>
      </c>
      <c r="L230" s="90" t="s">
        <v>4</v>
      </c>
      <c r="M230" s="90" t="s">
        <v>6</v>
      </c>
      <c r="N230" s="90" t="s">
        <v>225</v>
      </c>
      <c r="O230" s="91">
        <v>45770</v>
      </c>
      <c r="P230" s="91">
        <v>45799</v>
      </c>
      <c r="Q230" s="91">
        <v>45805</v>
      </c>
      <c r="R230" s="91">
        <v>45841</v>
      </c>
      <c r="S230" s="91">
        <v>45841</v>
      </c>
      <c r="T230" s="88"/>
      <c r="U230" s="88"/>
      <c r="V230" s="90" t="s">
        <v>32</v>
      </c>
      <c r="W230" s="90">
        <v>1</v>
      </c>
      <c r="X230" s="90" t="s">
        <v>228</v>
      </c>
      <c r="Y230" s="91">
        <v>45839</v>
      </c>
      <c r="Z230" s="91">
        <v>46022</v>
      </c>
      <c r="AA230" s="88"/>
      <c r="AB230" s="88"/>
      <c r="AC230" s="92">
        <v>45874.613194444442</v>
      </c>
    </row>
    <row r="231" spans="1:29" customFormat="1" ht="16" x14ac:dyDescent="0.2">
      <c r="A231" s="90" t="s">
        <v>1</v>
      </c>
      <c r="B231" s="90" t="s">
        <v>1048</v>
      </c>
      <c r="C231" s="90" t="s">
        <v>146</v>
      </c>
      <c r="D231" s="91">
        <v>30490</v>
      </c>
      <c r="E231" s="90">
        <v>42</v>
      </c>
      <c r="F231" s="90" t="s">
        <v>11</v>
      </c>
      <c r="G231" s="90" t="s">
        <v>10</v>
      </c>
      <c r="H231" s="90" t="s">
        <v>10</v>
      </c>
      <c r="I231" s="91">
        <v>44105</v>
      </c>
      <c r="J231" s="90" t="s">
        <v>347</v>
      </c>
      <c r="K231" s="90" t="s">
        <v>348</v>
      </c>
      <c r="L231" s="90" t="s">
        <v>4</v>
      </c>
      <c r="M231" s="90" t="s">
        <v>6</v>
      </c>
      <c r="N231" s="90" t="s">
        <v>120</v>
      </c>
      <c r="O231" s="91">
        <v>45770</v>
      </c>
      <c r="P231" s="91">
        <v>45790</v>
      </c>
      <c r="Q231" s="91">
        <v>45831</v>
      </c>
      <c r="R231" s="91">
        <v>45831</v>
      </c>
      <c r="S231" s="91">
        <v>45831</v>
      </c>
      <c r="T231" s="91">
        <v>45943</v>
      </c>
      <c r="U231" s="90" t="s">
        <v>60</v>
      </c>
      <c r="V231" s="90" t="s">
        <v>224</v>
      </c>
      <c r="W231" s="90">
        <v>1</v>
      </c>
      <c r="X231" s="90" t="s">
        <v>125</v>
      </c>
      <c r="Y231" s="91">
        <v>45809</v>
      </c>
      <c r="Z231" s="91">
        <v>45991</v>
      </c>
      <c r="AA231" s="88"/>
      <c r="AB231" s="88"/>
      <c r="AC231" s="92">
        <v>45943.705555555556</v>
      </c>
    </row>
    <row r="232" spans="1:29" customFormat="1" ht="16" x14ac:dyDescent="0.2">
      <c r="A232" s="90" t="s">
        <v>1</v>
      </c>
      <c r="B232" s="90" t="s">
        <v>1049</v>
      </c>
      <c r="C232" s="90" t="s">
        <v>1050</v>
      </c>
      <c r="D232" s="91">
        <v>31989</v>
      </c>
      <c r="E232" s="90">
        <v>38</v>
      </c>
      <c r="F232" s="90" t="s">
        <v>11</v>
      </c>
      <c r="G232" s="90" t="s">
        <v>10</v>
      </c>
      <c r="H232" s="88"/>
      <c r="I232" s="88"/>
      <c r="J232" s="90" t="s">
        <v>237</v>
      </c>
      <c r="K232" s="90" t="s">
        <v>243</v>
      </c>
      <c r="L232" s="90" t="s">
        <v>3</v>
      </c>
      <c r="M232" s="90" t="s">
        <v>6</v>
      </c>
      <c r="N232" s="90" t="s">
        <v>124</v>
      </c>
      <c r="O232" s="91">
        <v>45770</v>
      </c>
      <c r="P232" s="91">
        <v>45789</v>
      </c>
      <c r="Q232" s="91">
        <v>45790</v>
      </c>
      <c r="R232" s="91">
        <v>45805</v>
      </c>
      <c r="S232" s="91">
        <v>45805</v>
      </c>
      <c r="T232" s="91">
        <v>45924</v>
      </c>
      <c r="U232" s="90" t="s">
        <v>91</v>
      </c>
      <c r="V232" s="90" t="s">
        <v>224</v>
      </c>
      <c r="W232" s="90">
        <v>1</v>
      </c>
      <c r="X232" s="90" t="s">
        <v>118</v>
      </c>
      <c r="Y232" s="91">
        <v>45778</v>
      </c>
      <c r="Z232" s="91">
        <v>45961</v>
      </c>
      <c r="AA232" s="88"/>
      <c r="AB232" s="88"/>
      <c r="AC232" s="92">
        <v>45929.504861111112</v>
      </c>
    </row>
    <row r="233" spans="1:29" customFormat="1" ht="16" x14ac:dyDescent="0.2">
      <c r="A233" s="90" t="s">
        <v>0</v>
      </c>
      <c r="B233" s="90" t="s">
        <v>351</v>
      </c>
      <c r="C233" s="90" t="s">
        <v>1051</v>
      </c>
      <c r="D233" s="91">
        <v>24998</v>
      </c>
      <c r="E233" s="90">
        <v>57</v>
      </c>
      <c r="F233" s="90" t="s">
        <v>11</v>
      </c>
      <c r="G233" s="90" t="s">
        <v>10</v>
      </c>
      <c r="H233" s="90" t="s">
        <v>10</v>
      </c>
      <c r="I233" s="91">
        <v>42828</v>
      </c>
      <c r="J233" s="90" t="s">
        <v>375</v>
      </c>
      <c r="K233" s="90" t="s">
        <v>376</v>
      </c>
      <c r="L233" s="90" t="s">
        <v>7</v>
      </c>
      <c r="M233" s="90" t="s">
        <v>6</v>
      </c>
      <c r="N233" s="90" t="s">
        <v>120</v>
      </c>
      <c r="O233" s="91">
        <v>45769</v>
      </c>
      <c r="P233" s="91">
        <v>45903</v>
      </c>
      <c r="Q233" s="91">
        <v>45805</v>
      </c>
      <c r="R233" s="91">
        <v>45832</v>
      </c>
      <c r="S233" s="91">
        <v>45832</v>
      </c>
      <c r="T233" s="91">
        <v>45950</v>
      </c>
      <c r="U233" s="90" t="s">
        <v>60</v>
      </c>
      <c r="V233" s="90" t="s">
        <v>224</v>
      </c>
      <c r="W233" s="90">
        <v>3</v>
      </c>
      <c r="X233" s="90" t="s">
        <v>708</v>
      </c>
      <c r="Y233" s="91">
        <v>45809</v>
      </c>
      <c r="Z233" s="91">
        <v>45991</v>
      </c>
      <c r="AA233" s="88"/>
      <c r="AB233" s="88"/>
      <c r="AC233" s="92">
        <v>45950.460416666669</v>
      </c>
    </row>
    <row r="234" spans="1:29" customFormat="1" ht="16" x14ac:dyDescent="0.2">
      <c r="A234" s="90" t="s">
        <v>1</v>
      </c>
      <c r="B234" s="90" t="s">
        <v>1052</v>
      </c>
      <c r="C234" s="90" t="s">
        <v>1053</v>
      </c>
      <c r="D234" s="91">
        <v>28339</v>
      </c>
      <c r="E234" s="90">
        <v>48</v>
      </c>
      <c r="F234" s="90" t="s">
        <v>11</v>
      </c>
      <c r="G234" s="90" t="s">
        <v>11</v>
      </c>
      <c r="H234" s="90" t="s">
        <v>10</v>
      </c>
      <c r="I234" s="91">
        <v>44317</v>
      </c>
      <c r="J234" s="90" t="s">
        <v>1054</v>
      </c>
      <c r="K234" s="90" t="s">
        <v>1055</v>
      </c>
      <c r="L234" s="90" t="s">
        <v>5</v>
      </c>
      <c r="M234" s="90" t="s">
        <v>6</v>
      </c>
      <c r="N234" s="90" t="s">
        <v>120</v>
      </c>
      <c r="O234" s="91">
        <v>45765</v>
      </c>
      <c r="P234" s="91">
        <v>45765</v>
      </c>
      <c r="Q234" s="91">
        <v>45782</v>
      </c>
      <c r="R234" s="91">
        <v>45791</v>
      </c>
      <c r="S234" s="91">
        <v>45791</v>
      </c>
      <c r="T234" s="88"/>
      <c r="U234" s="90" t="s">
        <v>320</v>
      </c>
      <c r="V234" s="90" t="s">
        <v>32</v>
      </c>
      <c r="W234" s="90">
        <v>1</v>
      </c>
      <c r="X234" s="90" t="s">
        <v>228</v>
      </c>
      <c r="Y234" s="91">
        <v>45778</v>
      </c>
      <c r="Z234" s="91">
        <v>45961</v>
      </c>
      <c r="AA234" s="88"/>
      <c r="AB234" s="88"/>
      <c r="AC234" s="92">
        <v>45941.44027777778</v>
      </c>
    </row>
    <row r="235" spans="1:29" customFormat="1" ht="16" x14ac:dyDescent="0.2">
      <c r="A235" s="90" t="s">
        <v>0</v>
      </c>
      <c r="B235" s="90" t="s">
        <v>8</v>
      </c>
      <c r="C235" s="90" t="s">
        <v>1056</v>
      </c>
      <c r="D235" s="91">
        <v>28567</v>
      </c>
      <c r="E235" s="90">
        <v>47</v>
      </c>
      <c r="F235" s="90" t="s">
        <v>10</v>
      </c>
      <c r="G235" s="90" t="s">
        <v>10</v>
      </c>
      <c r="H235" s="90" t="s">
        <v>11</v>
      </c>
      <c r="I235" s="88"/>
      <c r="J235" s="90" t="s">
        <v>1057</v>
      </c>
      <c r="K235" s="90" t="s">
        <v>1058</v>
      </c>
      <c r="L235" s="90" t="s">
        <v>7</v>
      </c>
      <c r="M235" s="90" t="s">
        <v>6</v>
      </c>
      <c r="N235" s="88"/>
      <c r="O235" s="91">
        <v>45765</v>
      </c>
      <c r="P235" s="91">
        <v>45769</v>
      </c>
      <c r="Q235" s="91">
        <v>45790</v>
      </c>
      <c r="R235" s="91">
        <v>45810</v>
      </c>
      <c r="S235" s="91">
        <v>45811</v>
      </c>
      <c r="T235" s="88"/>
      <c r="U235" s="88"/>
      <c r="V235" s="90" t="s">
        <v>32</v>
      </c>
      <c r="W235" s="90">
        <v>3</v>
      </c>
      <c r="X235" s="90" t="s">
        <v>228</v>
      </c>
      <c r="Y235" s="91">
        <v>45809</v>
      </c>
      <c r="Z235" s="91">
        <v>45991</v>
      </c>
      <c r="AA235" s="88"/>
      <c r="AB235" s="88"/>
      <c r="AC235" s="92">
        <v>45950.347916666666</v>
      </c>
    </row>
    <row r="236" spans="1:29" customFormat="1" ht="16" x14ac:dyDescent="0.2">
      <c r="A236" s="90" t="s">
        <v>0</v>
      </c>
      <c r="B236" s="90" t="s">
        <v>1059</v>
      </c>
      <c r="C236" s="90" t="s">
        <v>1060</v>
      </c>
      <c r="D236" s="91">
        <v>30071</v>
      </c>
      <c r="E236" s="90">
        <v>43</v>
      </c>
      <c r="F236" s="88"/>
      <c r="G236" s="90" t="s">
        <v>10</v>
      </c>
      <c r="H236" s="90" t="s">
        <v>10</v>
      </c>
      <c r="I236" s="91">
        <v>41792</v>
      </c>
      <c r="J236" s="90" t="s">
        <v>1061</v>
      </c>
      <c r="K236" s="90" t="s">
        <v>1062</v>
      </c>
      <c r="L236" s="90" t="s">
        <v>4</v>
      </c>
      <c r="M236" s="90" t="s">
        <v>396</v>
      </c>
      <c r="N236" s="90" t="s">
        <v>119</v>
      </c>
      <c r="O236" s="91">
        <v>45764</v>
      </c>
      <c r="P236" s="91">
        <v>45790</v>
      </c>
      <c r="Q236" s="91">
        <v>45796</v>
      </c>
      <c r="R236" s="91">
        <v>45827</v>
      </c>
      <c r="S236" s="91">
        <v>45827</v>
      </c>
      <c r="T236" s="88"/>
      <c r="U236" s="90" t="s">
        <v>407</v>
      </c>
      <c r="V236" s="90" t="s">
        <v>32</v>
      </c>
      <c r="W236" s="90">
        <v>1</v>
      </c>
      <c r="X236" s="90" t="s">
        <v>228</v>
      </c>
      <c r="Y236" s="91">
        <v>45809</v>
      </c>
      <c r="Z236" s="91">
        <v>45991</v>
      </c>
      <c r="AA236" s="88"/>
      <c r="AB236" s="88"/>
      <c r="AC236" s="92">
        <v>45953.638194444444</v>
      </c>
    </row>
    <row r="237" spans="1:29" customFormat="1" ht="16" x14ac:dyDescent="0.2">
      <c r="A237" s="90" t="s">
        <v>1</v>
      </c>
      <c r="B237" s="90" t="s">
        <v>1063</v>
      </c>
      <c r="C237" s="90" t="s">
        <v>1064</v>
      </c>
      <c r="D237" s="91">
        <v>25522</v>
      </c>
      <c r="E237" s="90">
        <v>56</v>
      </c>
      <c r="F237" s="90" t="s">
        <v>11</v>
      </c>
      <c r="G237" s="88"/>
      <c r="H237" s="90" t="s">
        <v>10</v>
      </c>
      <c r="I237" s="91">
        <v>44958</v>
      </c>
      <c r="J237" s="90" t="s">
        <v>451</v>
      </c>
      <c r="K237" s="90" t="s">
        <v>626</v>
      </c>
      <c r="L237" s="90" t="s">
        <v>7</v>
      </c>
      <c r="M237" s="90" t="s">
        <v>6</v>
      </c>
      <c r="N237" s="88"/>
      <c r="O237" s="91">
        <v>45764</v>
      </c>
      <c r="P237" s="91">
        <v>45765</v>
      </c>
      <c r="Q237" s="91">
        <v>45791</v>
      </c>
      <c r="R237" s="91">
        <v>45810</v>
      </c>
      <c r="S237" s="91">
        <v>45810</v>
      </c>
      <c r="T237" s="88"/>
      <c r="U237" s="88"/>
      <c r="V237" s="90" t="s">
        <v>32</v>
      </c>
      <c r="W237" s="90">
        <v>4</v>
      </c>
      <c r="X237" s="90" t="s">
        <v>228</v>
      </c>
      <c r="Y237" s="91">
        <v>45809</v>
      </c>
      <c r="Z237" s="91">
        <v>45991</v>
      </c>
      <c r="AA237" s="88"/>
      <c r="AB237" s="88"/>
      <c r="AC237" s="92">
        <v>45810.640277777777</v>
      </c>
    </row>
    <row r="238" spans="1:29" customFormat="1" ht="16" x14ac:dyDescent="0.2">
      <c r="A238" s="90" t="s">
        <v>0</v>
      </c>
      <c r="B238" s="90" t="s">
        <v>1065</v>
      </c>
      <c r="C238" s="90" t="s">
        <v>1066</v>
      </c>
      <c r="D238" s="91">
        <v>33353</v>
      </c>
      <c r="E238" s="90">
        <v>34</v>
      </c>
      <c r="F238" s="90" t="s">
        <v>11</v>
      </c>
      <c r="G238" s="90" t="s">
        <v>11</v>
      </c>
      <c r="H238" s="90" t="s">
        <v>10</v>
      </c>
      <c r="I238" s="91">
        <v>43983</v>
      </c>
      <c r="J238" s="90" t="s">
        <v>200</v>
      </c>
      <c r="K238" s="90" t="s">
        <v>201</v>
      </c>
      <c r="L238" s="90" t="s">
        <v>3</v>
      </c>
      <c r="M238" s="90" t="s">
        <v>6</v>
      </c>
      <c r="N238" s="90" t="s">
        <v>119</v>
      </c>
      <c r="O238" s="91">
        <v>45763</v>
      </c>
      <c r="P238" s="91">
        <v>45764</v>
      </c>
      <c r="Q238" s="91">
        <v>45782</v>
      </c>
      <c r="R238" s="91">
        <v>45798</v>
      </c>
      <c r="S238" s="91">
        <v>45798</v>
      </c>
      <c r="T238" s="88"/>
      <c r="U238" s="88"/>
      <c r="V238" s="90" t="s">
        <v>32</v>
      </c>
      <c r="W238" s="90">
        <v>1</v>
      </c>
      <c r="X238" s="90" t="s">
        <v>118</v>
      </c>
      <c r="Y238" s="91">
        <v>45778</v>
      </c>
      <c r="Z238" s="91">
        <v>45961</v>
      </c>
      <c r="AA238" s="88"/>
      <c r="AB238" s="88"/>
      <c r="AC238" s="92">
        <v>45798.640277777777</v>
      </c>
    </row>
    <row r="239" spans="1:29" customFormat="1" ht="16" x14ac:dyDescent="0.2">
      <c r="A239" s="90" t="s">
        <v>0</v>
      </c>
      <c r="B239" s="90" t="s">
        <v>1067</v>
      </c>
      <c r="C239" s="90" t="s">
        <v>1068</v>
      </c>
      <c r="D239" s="91">
        <v>31263</v>
      </c>
      <c r="E239" s="90">
        <v>40</v>
      </c>
      <c r="F239" s="90" t="s">
        <v>11</v>
      </c>
      <c r="G239" s="90" t="s">
        <v>10</v>
      </c>
      <c r="H239" s="90" t="s">
        <v>10</v>
      </c>
      <c r="I239" s="88"/>
      <c r="J239" s="90" t="s">
        <v>409</v>
      </c>
      <c r="K239" s="90" t="s">
        <v>959</v>
      </c>
      <c r="L239" s="90" t="s">
        <v>7</v>
      </c>
      <c r="M239" s="90" t="s">
        <v>6</v>
      </c>
      <c r="N239" s="90" t="s">
        <v>120</v>
      </c>
      <c r="O239" s="91">
        <v>45762</v>
      </c>
      <c r="P239" s="91">
        <v>45765</v>
      </c>
      <c r="Q239" s="91">
        <v>45796</v>
      </c>
      <c r="R239" s="91">
        <v>45811</v>
      </c>
      <c r="S239" s="91">
        <v>45818</v>
      </c>
      <c r="T239" s="88"/>
      <c r="U239" s="88"/>
      <c r="V239" s="90" t="s">
        <v>32</v>
      </c>
      <c r="W239" s="90">
        <v>2</v>
      </c>
      <c r="X239" s="90" t="s">
        <v>228</v>
      </c>
      <c r="Y239" s="91">
        <v>45809</v>
      </c>
      <c r="Z239" s="91">
        <v>45991</v>
      </c>
      <c r="AA239" s="88"/>
      <c r="AB239" s="88"/>
      <c r="AC239" s="92">
        <v>45946.534722222219</v>
      </c>
    </row>
    <row r="240" spans="1:29" customFormat="1" ht="16" x14ac:dyDescent="0.2">
      <c r="A240" s="90" t="s">
        <v>0</v>
      </c>
      <c r="B240" s="90" t="s">
        <v>1069</v>
      </c>
      <c r="C240" s="90" t="s">
        <v>1070</v>
      </c>
      <c r="D240" s="91">
        <v>23957</v>
      </c>
      <c r="E240" s="90">
        <v>60</v>
      </c>
      <c r="F240" s="88"/>
      <c r="G240" s="90" t="s">
        <v>10</v>
      </c>
      <c r="H240" s="90" t="s">
        <v>10</v>
      </c>
      <c r="I240" s="91">
        <v>43313</v>
      </c>
      <c r="J240" s="90" t="s">
        <v>363</v>
      </c>
      <c r="K240" s="90" t="s">
        <v>364</v>
      </c>
      <c r="L240" s="90" t="s">
        <v>7</v>
      </c>
      <c r="M240" s="90" t="s">
        <v>6</v>
      </c>
      <c r="N240" s="90" t="s">
        <v>225</v>
      </c>
      <c r="O240" s="91">
        <v>45762</v>
      </c>
      <c r="P240" s="91">
        <v>45793</v>
      </c>
      <c r="Q240" s="91">
        <v>45796</v>
      </c>
      <c r="R240" s="91">
        <v>45813</v>
      </c>
      <c r="S240" s="91">
        <v>45813</v>
      </c>
      <c r="T240" s="88"/>
      <c r="U240" s="88"/>
      <c r="V240" s="90" t="s">
        <v>32</v>
      </c>
      <c r="W240" s="90">
        <v>1</v>
      </c>
      <c r="X240" s="90" t="s">
        <v>228</v>
      </c>
      <c r="Y240" s="91">
        <v>45809</v>
      </c>
      <c r="Z240" s="91">
        <v>45991</v>
      </c>
      <c r="AA240" s="88"/>
      <c r="AB240" s="88"/>
      <c r="AC240" s="92">
        <v>45946.538194444445</v>
      </c>
    </row>
    <row r="241" spans="1:29" customFormat="1" ht="16" x14ac:dyDescent="0.2">
      <c r="A241" s="90" t="s">
        <v>0</v>
      </c>
      <c r="B241" s="90" t="s">
        <v>427</v>
      </c>
      <c r="C241" s="90" t="s">
        <v>1071</v>
      </c>
      <c r="D241" s="91">
        <v>26382</v>
      </c>
      <c r="E241" s="90">
        <v>53</v>
      </c>
      <c r="F241" s="88"/>
      <c r="G241" s="90" t="s">
        <v>10</v>
      </c>
      <c r="H241" s="90" t="s">
        <v>10</v>
      </c>
      <c r="I241" s="91">
        <v>41760</v>
      </c>
      <c r="J241" s="90" t="s">
        <v>253</v>
      </c>
      <c r="K241" s="90" t="s">
        <v>254</v>
      </c>
      <c r="L241" s="90" t="s">
        <v>7</v>
      </c>
      <c r="M241" s="90" t="s">
        <v>6</v>
      </c>
      <c r="N241" s="88"/>
      <c r="O241" s="91">
        <v>45761</v>
      </c>
      <c r="P241" s="91">
        <v>45765</v>
      </c>
      <c r="Q241" s="91">
        <v>45793</v>
      </c>
      <c r="R241" s="91">
        <v>45810</v>
      </c>
      <c r="S241" s="91">
        <v>45810</v>
      </c>
      <c r="T241" s="88"/>
      <c r="U241" s="88"/>
      <c r="V241" s="90" t="s">
        <v>32</v>
      </c>
      <c r="W241" s="90">
        <v>2</v>
      </c>
      <c r="X241" s="90" t="s">
        <v>228</v>
      </c>
      <c r="Y241" s="91">
        <v>45809</v>
      </c>
      <c r="Z241" s="91">
        <v>45991</v>
      </c>
      <c r="AA241" s="88"/>
      <c r="AB241" s="88"/>
      <c r="AC241" s="92">
        <v>45810.450694444444</v>
      </c>
    </row>
    <row r="242" spans="1:29" customFormat="1" ht="16" x14ac:dyDescent="0.2">
      <c r="A242" s="90" t="s">
        <v>0</v>
      </c>
      <c r="B242" s="90" t="s">
        <v>1072</v>
      </c>
      <c r="C242" s="90" t="s">
        <v>1073</v>
      </c>
      <c r="D242" s="91">
        <v>27121</v>
      </c>
      <c r="E242" s="90">
        <v>51</v>
      </c>
      <c r="F242" s="88"/>
      <c r="G242" s="90" t="s">
        <v>10</v>
      </c>
      <c r="H242" s="90" t="s">
        <v>10</v>
      </c>
      <c r="I242" s="91">
        <v>41214</v>
      </c>
      <c r="J242" s="90" t="s">
        <v>347</v>
      </c>
      <c r="K242" s="90" t="s">
        <v>348</v>
      </c>
      <c r="L242" s="90" t="s">
        <v>4</v>
      </c>
      <c r="M242" s="90" t="s">
        <v>6</v>
      </c>
      <c r="N242" s="88"/>
      <c r="O242" s="91">
        <v>45758</v>
      </c>
      <c r="P242" s="88"/>
      <c r="Q242" s="88"/>
      <c r="R242" s="88"/>
      <c r="S242" s="88"/>
      <c r="T242" s="88"/>
      <c r="U242" s="88"/>
      <c r="V242" s="90" t="s">
        <v>227</v>
      </c>
      <c r="W242" s="90">
        <v>0</v>
      </c>
      <c r="X242" s="88"/>
      <c r="Y242" s="88"/>
      <c r="Z242" s="88"/>
      <c r="AA242" s="88"/>
      <c r="AB242" s="88"/>
      <c r="AC242" s="92">
        <v>45790.635416666664</v>
      </c>
    </row>
    <row r="243" spans="1:29" customFormat="1" ht="16" x14ac:dyDescent="0.2">
      <c r="A243" s="90" t="s">
        <v>0</v>
      </c>
      <c r="B243" s="90" t="s">
        <v>1074</v>
      </c>
      <c r="C243" s="90" t="s">
        <v>1075</v>
      </c>
      <c r="D243" s="91">
        <v>23810</v>
      </c>
      <c r="E243" s="90">
        <v>60</v>
      </c>
      <c r="F243" s="90" t="s">
        <v>10</v>
      </c>
      <c r="G243" s="90" t="s">
        <v>10</v>
      </c>
      <c r="H243" s="90" t="s">
        <v>10</v>
      </c>
      <c r="I243" s="91">
        <v>43983</v>
      </c>
      <c r="J243" s="90" t="s">
        <v>409</v>
      </c>
      <c r="K243" s="90" t="s">
        <v>959</v>
      </c>
      <c r="L243" s="90" t="s">
        <v>7</v>
      </c>
      <c r="M243" s="90" t="s">
        <v>6</v>
      </c>
      <c r="N243" s="90" t="s">
        <v>119</v>
      </c>
      <c r="O243" s="91">
        <v>45758</v>
      </c>
      <c r="P243" s="91">
        <v>45765</v>
      </c>
      <c r="Q243" s="91">
        <v>45791</v>
      </c>
      <c r="R243" s="91">
        <v>45805</v>
      </c>
      <c r="S243" s="91">
        <v>45805</v>
      </c>
      <c r="T243" s="91">
        <v>45961</v>
      </c>
      <c r="U243" s="90" t="s">
        <v>319</v>
      </c>
      <c r="V243" s="90" t="s">
        <v>224</v>
      </c>
      <c r="W243" s="90">
        <v>2</v>
      </c>
      <c r="X243" s="90" t="s">
        <v>228</v>
      </c>
      <c r="Y243" s="91">
        <v>45778</v>
      </c>
      <c r="Z243" s="91">
        <v>45961</v>
      </c>
      <c r="AA243" s="88"/>
      <c r="AB243" s="88"/>
      <c r="AC243" s="92">
        <v>45950.616666666669</v>
      </c>
    </row>
    <row r="244" spans="1:29" customFormat="1" ht="16" x14ac:dyDescent="0.2">
      <c r="A244" s="90" t="s">
        <v>1</v>
      </c>
      <c r="B244" s="90" t="s">
        <v>261</v>
      </c>
      <c r="C244" s="90" t="s">
        <v>1076</v>
      </c>
      <c r="D244" s="91">
        <v>25668</v>
      </c>
      <c r="E244" s="90">
        <v>55</v>
      </c>
      <c r="F244" s="90" t="s">
        <v>11</v>
      </c>
      <c r="G244" s="88"/>
      <c r="H244" s="90" t="s">
        <v>10</v>
      </c>
      <c r="I244" s="88"/>
      <c r="J244" s="90" t="s">
        <v>153</v>
      </c>
      <c r="K244" s="90" t="s">
        <v>288</v>
      </c>
      <c r="L244" s="90" t="s">
        <v>5</v>
      </c>
      <c r="M244" s="90" t="s">
        <v>6</v>
      </c>
      <c r="N244" s="90" t="s">
        <v>119</v>
      </c>
      <c r="O244" s="91">
        <v>45758</v>
      </c>
      <c r="P244" s="91">
        <v>45758</v>
      </c>
      <c r="Q244" s="91">
        <v>45762</v>
      </c>
      <c r="R244" s="91">
        <v>45805</v>
      </c>
      <c r="S244" s="91">
        <v>45805</v>
      </c>
      <c r="T244" s="88"/>
      <c r="U244" s="90" t="s">
        <v>320</v>
      </c>
      <c r="V244" s="90" t="s">
        <v>32</v>
      </c>
      <c r="W244" s="90">
        <v>1</v>
      </c>
      <c r="X244" s="90" t="s">
        <v>228</v>
      </c>
      <c r="Y244" s="91">
        <v>45778</v>
      </c>
      <c r="Z244" s="91">
        <v>45961</v>
      </c>
      <c r="AA244" s="91">
        <v>45962</v>
      </c>
      <c r="AB244" s="91">
        <v>46022</v>
      </c>
      <c r="AC244" s="92">
        <v>45950.398611111108</v>
      </c>
    </row>
    <row r="245" spans="1:29" customFormat="1" ht="16" x14ac:dyDescent="0.2">
      <c r="A245" s="90" t="s">
        <v>1</v>
      </c>
      <c r="B245" s="90" t="s">
        <v>658</v>
      </c>
      <c r="C245" s="90" t="s">
        <v>1077</v>
      </c>
      <c r="D245" s="91">
        <v>25173</v>
      </c>
      <c r="E245" s="90">
        <v>57</v>
      </c>
      <c r="F245" s="90" t="s">
        <v>11</v>
      </c>
      <c r="G245" s="90" t="s">
        <v>10</v>
      </c>
      <c r="H245" s="90" t="s">
        <v>10</v>
      </c>
      <c r="I245" s="91">
        <v>44322</v>
      </c>
      <c r="J245" s="90" t="s">
        <v>1078</v>
      </c>
      <c r="K245" s="90" t="s">
        <v>1079</v>
      </c>
      <c r="L245" s="90" t="s">
        <v>7</v>
      </c>
      <c r="M245" s="90" t="s">
        <v>6</v>
      </c>
      <c r="N245" s="90" t="s">
        <v>225</v>
      </c>
      <c r="O245" s="91">
        <v>45757</v>
      </c>
      <c r="P245" s="91">
        <v>45765</v>
      </c>
      <c r="Q245" s="91">
        <v>45793</v>
      </c>
      <c r="R245" s="91">
        <v>45813</v>
      </c>
      <c r="S245" s="91">
        <v>45813</v>
      </c>
      <c r="T245" s="91">
        <v>45950</v>
      </c>
      <c r="U245" s="90" t="s">
        <v>60</v>
      </c>
      <c r="V245" s="90" t="s">
        <v>224</v>
      </c>
      <c r="W245" s="90">
        <v>2</v>
      </c>
      <c r="X245" s="90" t="s">
        <v>228</v>
      </c>
      <c r="Y245" s="91">
        <v>45809</v>
      </c>
      <c r="Z245" s="91">
        <v>45991</v>
      </c>
      <c r="AA245" s="88"/>
      <c r="AB245" s="88"/>
      <c r="AC245" s="92">
        <v>45950.679861111108</v>
      </c>
    </row>
    <row r="246" spans="1:29" customFormat="1" ht="16" x14ac:dyDescent="0.2">
      <c r="A246" s="90" t="s">
        <v>0</v>
      </c>
      <c r="B246" s="90" t="s">
        <v>1080</v>
      </c>
      <c r="C246" s="90" t="s">
        <v>1081</v>
      </c>
      <c r="D246" s="91">
        <v>28392</v>
      </c>
      <c r="E246" s="90">
        <v>48</v>
      </c>
      <c r="F246" s="90" t="s">
        <v>11</v>
      </c>
      <c r="G246" s="90" t="s">
        <v>11</v>
      </c>
      <c r="H246" s="90" t="s">
        <v>10</v>
      </c>
      <c r="I246" s="91">
        <v>43040</v>
      </c>
      <c r="J246" s="90" t="s">
        <v>185</v>
      </c>
      <c r="K246" s="90" t="s">
        <v>186</v>
      </c>
      <c r="L246" s="90" t="s">
        <v>3</v>
      </c>
      <c r="M246" s="90" t="s">
        <v>6</v>
      </c>
      <c r="N246" s="90" t="s">
        <v>117</v>
      </c>
      <c r="O246" s="91">
        <v>45756</v>
      </c>
      <c r="P246" s="91">
        <v>45764</v>
      </c>
      <c r="Q246" s="91">
        <v>45769</v>
      </c>
      <c r="R246" s="91">
        <v>45782</v>
      </c>
      <c r="S246" s="91">
        <v>45854</v>
      </c>
      <c r="T246" s="88"/>
      <c r="U246" s="88"/>
      <c r="V246" s="90" t="s">
        <v>32</v>
      </c>
      <c r="W246" s="90">
        <v>1</v>
      </c>
      <c r="X246" s="90" t="s">
        <v>118</v>
      </c>
      <c r="Y246" s="91">
        <v>45839</v>
      </c>
      <c r="Z246" s="91">
        <v>46022</v>
      </c>
      <c r="AA246" s="88"/>
      <c r="AB246" s="88"/>
      <c r="AC246" s="92">
        <v>45854.679861111108</v>
      </c>
    </row>
    <row r="247" spans="1:29" customFormat="1" ht="16" x14ac:dyDescent="0.2">
      <c r="A247" s="90" t="s">
        <v>0</v>
      </c>
      <c r="B247" s="90" t="s">
        <v>1082</v>
      </c>
      <c r="C247" s="90" t="s">
        <v>1083</v>
      </c>
      <c r="D247" s="91">
        <v>27759</v>
      </c>
      <c r="E247" s="90">
        <v>50</v>
      </c>
      <c r="F247" s="90" t="s">
        <v>11</v>
      </c>
      <c r="G247" s="90" t="s">
        <v>10</v>
      </c>
      <c r="H247" s="90" t="s">
        <v>10</v>
      </c>
      <c r="I247" s="91">
        <v>43466</v>
      </c>
      <c r="J247" s="90" t="s">
        <v>142</v>
      </c>
      <c r="K247" s="90" t="s">
        <v>143</v>
      </c>
      <c r="L247" s="90" t="s">
        <v>3</v>
      </c>
      <c r="M247" s="90" t="s">
        <v>6</v>
      </c>
      <c r="N247" s="90" t="s">
        <v>117</v>
      </c>
      <c r="O247" s="91">
        <v>45756</v>
      </c>
      <c r="P247" s="91">
        <v>45756</v>
      </c>
      <c r="Q247" s="91">
        <v>45762</v>
      </c>
      <c r="R247" s="91">
        <v>45789</v>
      </c>
      <c r="S247" s="91">
        <v>45804</v>
      </c>
      <c r="T247" s="88"/>
      <c r="U247" s="90" t="s">
        <v>319</v>
      </c>
      <c r="V247" s="90" t="s">
        <v>32</v>
      </c>
      <c r="W247" s="90">
        <v>2</v>
      </c>
      <c r="X247" s="90" t="s">
        <v>228</v>
      </c>
      <c r="Y247" s="91">
        <v>45778</v>
      </c>
      <c r="Z247" s="91">
        <v>45961</v>
      </c>
      <c r="AA247" s="88"/>
      <c r="AB247" s="88"/>
      <c r="AC247" s="92">
        <v>45833.422222222223</v>
      </c>
    </row>
    <row r="248" spans="1:29" customFormat="1" ht="16" x14ac:dyDescent="0.2">
      <c r="A248" s="90" t="s">
        <v>0</v>
      </c>
      <c r="B248" s="90" t="s">
        <v>1084</v>
      </c>
      <c r="C248" s="90" t="s">
        <v>1085</v>
      </c>
      <c r="D248" s="91">
        <v>27313</v>
      </c>
      <c r="E248" s="90">
        <v>51</v>
      </c>
      <c r="F248" s="90" t="s">
        <v>11</v>
      </c>
      <c r="G248" s="90" t="s">
        <v>11</v>
      </c>
      <c r="H248" s="90" t="s">
        <v>10</v>
      </c>
      <c r="I248" s="88"/>
      <c r="J248" s="90" t="s">
        <v>774</v>
      </c>
      <c r="K248" s="90" t="s">
        <v>432</v>
      </c>
      <c r="L248" s="90" t="s">
        <v>7</v>
      </c>
      <c r="M248" s="90" t="s">
        <v>396</v>
      </c>
      <c r="N248" s="90" t="s">
        <v>119</v>
      </c>
      <c r="O248" s="91">
        <v>45756</v>
      </c>
      <c r="P248" s="91">
        <v>45765</v>
      </c>
      <c r="Q248" s="91">
        <v>45793</v>
      </c>
      <c r="R248" s="91">
        <v>45831</v>
      </c>
      <c r="S248" s="91">
        <v>45831</v>
      </c>
      <c r="T248" s="88"/>
      <c r="U248" s="88"/>
      <c r="V248" s="90" t="s">
        <v>32</v>
      </c>
      <c r="W248" s="90">
        <v>3</v>
      </c>
      <c r="X248" s="90" t="s">
        <v>228</v>
      </c>
      <c r="Y248" s="91">
        <v>45809</v>
      </c>
      <c r="Z248" s="91">
        <v>45991</v>
      </c>
      <c r="AA248" s="88"/>
      <c r="AB248" s="88"/>
      <c r="AC248" s="92">
        <v>45946.660416666666</v>
      </c>
    </row>
    <row r="249" spans="1:29" customFormat="1" ht="16" x14ac:dyDescent="0.2">
      <c r="A249" s="90" t="s">
        <v>0</v>
      </c>
      <c r="B249" s="90" t="s">
        <v>144</v>
      </c>
      <c r="C249" s="90" t="s">
        <v>1086</v>
      </c>
      <c r="D249" s="91">
        <v>27086</v>
      </c>
      <c r="E249" s="90">
        <v>51</v>
      </c>
      <c r="F249" s="90" t="s">
        <v>11</v>
      </c>
      <c r="G249" s="90" t="s">
        <v>10</v>
      </c>
      <c r="H249" s="90" t="s">
        <v>10</v>
      </c>
      <c r="I249" s="88"/>
      <c r="J249" s="90" t="s">
        <v>409</v>
      </c>
      <c r="K249" s="90" t="s">
        <v>959</v>
      </c>
      <c r="L249" s="90" t="s">
        <v>7</v>
      </c>
      <c r="M249" s="90" t="s">
        <v>6</v>
      </c>
      <c r="N249" s="88"/>
      <c r="O249" s="91">
        <v>45756</v>
      </c>
      <c r="P249" s="91">
        <v>45765</v>
      </c>
      <c r="Q249" s="91">
        <v>45796</v>
      </c>
      <c r="R249" s="91">
        <v>45811</v>
      </c>
      <c r="S249" s="91">
        <v>45811</v>
      </c>
      <c r="T249" s="88"/>
      <c r="U249" s="90" t="s">
        <v>319</v>
      </c>
      <c r="V249" s="90" t="s">
        <v>32</v>
      </c>
      <c r="W249" s="90">
        <v>1</v>
      </c>
      <c r="X249" s="90" t="s">
        <v>228</v>
      </c>
      <c r="Y249" s="91">
        <v>45809</v>
      </c>
      <c r="Z249" s="91">
        <v>45991</v>
      </c>
      <c r="AA249" s="88"/>
      <c r="AB249" s="88"/>
      <c r="AC249" s="92">
        <v>45951.411805555559</v>
      </c>
    </row>
    <row r="250" spans="1:29" customFormat="1" ht="16" x14ac:dyDescent="0.2">
      <c r="A250" s="90" t="s">
        <v>1</v>
      </c>
      <c r="B250" s="90" t="s">
        <v>112</v>
      </c>
      <c r="C250" s="90" t="s">
        <v>1087</v>
      </c>
      <c r="D250" s="91">
        <v>26109</v>
      </c>
      <c r="E250" s="90">
        <v>54</v>
      </c>
      <c r="F250" s="90" t="s">
        <v>10</v>
      </c>
      <c r="G250" s="90" t="s">
        <v>10</v>
      </c>
      <c r="H250" s="90" t="s">
        <v>10</v>
      </c>
      <c r="I250" s="91">
        <v>41791</v>
      </c>
      <c r="J250" s="90" t="s">
        <v>229</v>
      </c>
      <c r="K250" s="90" t="s">
        <v>230</v>
      </c>
      <c r="L250" s="90" t="s">
        <v>7</v>
      </c>
      <c r="M250" s="90" t="s">
        <v>6</v>
      </c>
      <c r="N250" s="90" t="s">
        <v>120</v>
      </c>
      <c r="O250" s="91">
        <v>45756</v>
      </c>
      <c r="P250" s="91">
        <v>45765</v>
      </c>
      <c r="Q250" s="91">
        <v>45790</v>
      </c>
      <c r="R250" s="91">
        <v>45831</v>
      </c>
      <c r="S250" s="91">
        <v>45831</v>
      </c>
      <c r="T250" s="88"/>
      <c r="U250" s="88"/>
      <c r="V250" s="90" t="s">
        <v>32</v>
      </c>
      <c r="W250" s="90">
        <v>3</v>
      </c>
      <c r="X250" s="90" t="s">
        <v>228</v>
      </c>
      <c r="Y250" s="91">
        <v>45809</v>
      </c>
      <c r="Z250" s="91">
        <v>45991</v>
      </c>
      <c r="AA250" s="88"/>
      <c r="AB250" s="88"/>
      <c r="AC250" s="92">
        <v>45957.415972222225</v>
      </c>
    </row>
    <row r="251" spans="1:29" customFormat="1" ht="16" x14ac:dyDescent="0.2">
      <c r="A251" s="90" t="s">
        <v>0</v>
      </c>
      <c r="B251" s="90" t="s">
        <v>1088</v>
      </c>
      <c r="C251" s="90" t="s">
        <v>1089</v>
      </c>
      <c r="D251" s="91">
        <v>34773</v>
      </c>
      <c r="E251" s="90">
        <v>30</v>
      </c>
      <c r="F251" s="90" t="s">
        <v>11</v>
      </c>
      <c r="G251" s="88"/>
      <c r="H251" s="90" t="s">
        <v>10</v>
      </c>
      <c r="I251" s="91">
        <v>45689</v>
      </c>
      <c r="J251" s="90" t="s">
        <v>197</v>
      </c>
      <c r="K251" s="90" t="s">
        <v>198</v>
      </c>
      <c r="L251" s="90" t="s">
        <v>3</v>
      </c>
      <c r="M251" s="90" t="s">
        <v>6</v>
      </c>
      <c r="N251" s="90" t="s">
        <v>117</v>
      </c>
      <c r="O251" s="91">
        <v>45755</v>
      </c>
      <c r="P251" s="91">
        <v>45755</v>
      </c>
      <c r="Q251" s="91">
        <v>45756</v>
      </c>
      <c r="R251" s="91">
        <v>45777</v>
      </c>
      <c r="S251" s="91">
        <v>45777</v>
      </c>
      <c r="T251" s="88"/>
      <c r="U251" s="90" t="s">
        <v>320</v>
      </c>
      <c r="V251" s="90" t="s">
        <v>32</v>
      </c>
      <c r="W251" s="90">
        <v>1</v>
      </c>
      <c r="X251" s="90" t="s">
        <v>118</v>
      </c>
      <c r="Y251" s="91">
        <v>45748</v>
      </c>
      <c r="Z251" s="91">
        <v>45930</v>
      </c>
      <c r="AA251" s="88"/>
      <c r="AB251" s="88"/>
      <c r="AC251" s="92">
        <v>45909.429861111108</v>
      </c>
    </row>
    <row r="252" spans="1:29" customFormat="1" ht="16" x14ac:dyDescent="0.2">
      <c r="A252" s="90" t="s">
        <v>0</v>
      </c>
      <c r="B252" s="90" t="s">
        <v>1090</v>
      </c>
      <c r="C252" s="90" t="s">
        <v>1091</v>
      </c>
      <c r="D252" s="91">
        <v>34622</v>
      </c>
      <c r="E252" s="90">
        <v>31</v>
      </c>
      <c r="F252" s="90" t="s">
        <v>11</v>
      </c>
      <c r="G252" s="90" t="s">
        <v>10</v>
      </c>
      <c r="H252" s="90" t="s">
        <v>10</v>
      </c>
      <c r="I252" s="91">
        <v>44743</v>
      </c>
      <c r="J252" s="90" t="s">
        <v>845</v>
      </c>
      <c r="K252" s="90" t="s">
        <v>1092</v>
      </c>
      <c r="L252" s="90" t="s">
        <v>5</v>
      </c>
      <c r="M252" s="90" t="s">
        <v>1093</v>
      </c>
      <c r="N252" s="90" t="s">
        <v>174</v>
      </c>
      <c r="O252" s="91">
        <v>45755</v>
      </c>
      <c r="P252" s="91">
        <v>45799</v>
      </c>
      <c r="Q252" s="91">
        <v>45805</v>
      </c>
      <c r="R252" s="91">
        <v>45834</v>
      </c>
      <c r="S252" s="91">
        <v>45840</v>
      </c>
      <c r="T252" s="88"/>
      <c r="U252" s="88"/>
      <c r="V252" s="90" t="s">
        <v>32</v>
      </c>
      <c r="W252" s="90">
        <v>1</v>
      </c>
      <c r="X252" s="90" t="s">
        <v>228</v>
      </c>
      <c r="Y252" s="91">
        <v>45809</v>
      </c>
      <c r="Z252" s="91">
        <v>45991</v>
      </c>
      <c r="AA252" s="88"/>
      <c r="AB252" s="88"/>
      <c r="AC252" s="92">
        <v>45840.42291666667</v>
      </c>
    </row>
    <row r="253" spans="1:29" customFormat="1" ht="16" x14ac:dyDescent="0.2">
      <c r="A253" s="90" t="s">
        <v>0</v>
      </c>
      <c r="B253" s="90" t="s">
        <v>250</v>
      </c>
      <c r="C253" s="90" t="s">
        <v>1094</v>
      </c>
      <c r="D253" s="91">
        <v>24573</v>
      </c>
      <c r="E253" s="90">
        <v>58</v>
      </c>
      <c r="F253" s="90" t="s">
        <v>11</v>
      </c>
      <c r="G253" s="90" t="s">
        <v>11</v>
      </c>
      <c r="H253" s="90" t="s">
        <v>10</v>
      </c>
      <c r="I253" s="91">
        <v>45474</v>
      </c>
      <c r="J253" s="90" t="s">
        <v>185</v>
      </c>
      <c r="K253" s="90" t="s">
        <v>186</v>
      </c>
      <c r="L253" s="90" t="s">
        <v>3</v>
      </c>
      <c r="M253" s="90" t="s">
        <v>6</v>
      </c>
      <c r="N253" s="90" t="s">
        <v>175</v>
      </c>
      <c r="O253" s="91">
        <v>45755</v>
      </c>
      <c r="P253" s="91">
        <v>45755</v>
      </c>
      <c r="Q253" s="91">
        <v>45756</v>
      </c>
      <c r="R253" s="91">
        <v>45763</v>
      </c>
      <c r="S253" s="91">
        <v>45763</v>
      </c>
      <c r="T253" s="88"/>
      <c r="U253" s="88"/>
      <c r="V253" s="90" t="s">
        <v>32</v>
      </c>
      <c r="W253" s="90">
        <v>1</v>
      </c>
      <c r="X253" s="90" t="s">
        <v>118</v>
      </c>
      <c r="Y253" s="91">
        <v>45748</v>
      </c>
      <c r="Z253" s="91">
        <v>45930</v>
      </c>
      <c r="AA253" s="88"/>
      <c r="AB253" s="88"/>
      <c r="AC253" s="92">
        <v>45763.638888888891</v>
      </c>
    </row>
    <row r="254" spans="1:29" customFormat="1" ht="16" x14ac:dyDescent="0.2">
      <c r="A254" s="90" t="s">
        <v>1</v>
      </c>
      <c r="B254" s="90" t="s">
        <v>199</v>
      </c>
      <c r="C254" s="90" t="s">
        <v>919</v>
      </c>
      <c r="D254" s="91">
        <v>29198</v>
      </c>
      <c r="E254" s="90">
        <v>46</v>
      </c>
      <c r="F254" s="90" t="s">
        <v>11</v>
      </c>
      <c r="G254" s="90" t="s">
        <v>10</v>
      </c>
      <c r="H254" s="90" t="s">
        <v>10</v>
      </c>
      <c r="I254" s="91">
        <v>43983</v>
      </c>
      <c r="J254" s="90" t="s">
        <v>734</v>
      </c>
      <c r="K254" s="90" t="s">
        <v>735</v>
      </c>
      <c r="L254" s="90" t="s">
        <v>4</v>
      </c>
      <c r="M254" s="90" t="s">
        <v>6</v>
      </c>
      <c r="N254" s="90" t="s">
        <v>119</v>
      </c>
      <c r="O254" s="91">
        <v>45754</v>
      </c>
      <c r="P254" s="91">
        <v>45756</v>
      </c>
      <c r="Q254" s="91">
        <v>45782</v>
      </c>
      <c r="R254" s="91">
        <v>45796</v>
      </c>
      <c r="S254" s="91">
        <v>45796</v>
      </c>
      <c r="T254" s="88"/>
      <c r="U254" s="88"/>
      <c r="V254" s="90" t="s">
        <v>32</v>
      </c>
      <c r="W254" s="90">
        <v>1</v>
      </c>
      <c r="X254" s="90" t="s">
        <v>228</v>
      </c>
      <c r="Y254" s="91">
        <v>45778</v>
      </c>
      <c r="Z254" s="91">
        <v>45961</v>
      </c>
      <c r="AA254" s="88"/>
      <c r="AB254" s="88"/>
      <c r="AC254" s="92">
        <v>45841.412499999999</v>
      </c>
    </row>
    <row r="255" spans="1:29" customFormat="1" ht="16" x14ac:dyDescent="0.2">
      <c r="A255" s="90" t="s">
        <v>1</v>
      </c>
      <c r="B255" s="90" t="s">
        <v>1095</v>
      </c>
      <c r="C255" s="90" t="s">
        <v>1096</v>
      </c>
      <c r="D255" s="91">
        <v>35328</v>
      </c>
      <c r="E255" s="90">
        <v>29</v>
      </c>
      <c r="F255" s="90" t="s">
        <v>10</v>
      </c>
      <c r="G255" s="90" t="s">
        <v>10</v>
      </c>
      <c r="H255" s="90" t="s">
        <v>10</v>
      </c>
      <c r="I255" s="91">
        <v>44866</v>
      </c>
      <c r="J255" s="90" t="s">
        <v>583</v>
      </c>
      <c r="K255" s="90" t="s">
        <v>332</v>
      </c>
      <c r="L255" s="90" t="s">
        <v>3</v>
      </c>
      <c r="M255" s="90" t="s">
        <v>6</v>
      </c>
      <c r="N255" s="90" t="s">
        <v>120</v>
      </c>
      <c r="O255" s="91">
        <v>45754</v>
      </c>
      <c r="P255" s="91">
        <v>45805</v>
      </c>
      <c r="Q255" s="91">
        <v>45755</v>
      </c>
      <c r="R255" s="91">
        <v>45805</v>
      </c>
      <c r="S255" s="91">
        <v>45762</v>
      </c>
      <c r="T255" s="91">
        <v>45877</v>
      </c>
      <c r="U255" s="90" t="s">
        <v>408</v>
      </c>
      <c r="V255" s="90" t="s">
        <v>224</v>
      </c>
      <c r="W255" s="90">
        <v>1</v>
      </c>
      <c r="X255" s="90" t="s">
        <v>125</v>
      </c>
      <c r="Y255" s="88"/>
      <c r="Z255" s="88"/>
      <c r="AA255" s="88"/>
      <c r="AB255" s="88"/>
      <c r="AC255" s="92">
        <v>45877.402777777781</v>
      </c>
    </row>
    <row r="256" spans="1:29" customFormat="1" ht="16" x14ac:dyDescent="0.2">
      <c r="A256" s="90" t="s">
        <v>0</v>
      </c>
      <c r="B256" s="90" t="s">
        <v>1097</v>
      </c>
      <c r="C256" s="90" t="s">
        <v>1098</v>
      </c>
      <c r="D256" s="91">
        <v>27794</v>
      </c>
      <c r="E256" s="90">
        <v>49</v>
      </c>
      <c r="F256" s="90" t="s">
        <v>10</v>
      </c>
      <c r="G256" s="90" t="s">
        <v>10</v>
      </c>
      <c r="H256" s="90" t="s">
        <v>11</v>
      </c>
      <c r="I256" s="91">
        <v>42583</v>
      </c>
      <c r="J256" s="90" t="s">
        <v>569</v>
      </c>
      <c r="K256" s="90" t="s">
        <v>930</v>
      </c>
      <c r="L256" s="90" t="s">
        <v>3</v>
      </c>
      <c r="M256" s="90" t="s">
        <v>931</v>
      </c>
      <c r="N256" s="88"/>
      <c r="O256" s="91">
        <v>45754</v>
      </c>
      <c r="P256" s="91">
        <v>45775</v>
      </c>
      <c r="Q256" s="88"/>
      <c r="R256" s="88"/>
      <c r="S256" s="88"/>
      <c r="T256" s="88"/>
      <c r="U256" s="88"/>
      <c r="V256" s="90" t="s">
        <v>32</v>
      </c>
      <c r="W256" s="90">
        <v>0</v>
      </c>
      <c r="X256" s="88"/>
      <c r="Y256" s="88"/>
      <c r="Z256" s="88"/>
      <c r="AA256" s="88"/>
      <c r="AB256" s="88"/>
      <c r="AC256" s="92">
        <v>45775.334722222222</v>
      </c>
    </row>
    <row r="257" spans="1:29" customFormat="1" ht="16" x14ac:dyDescent="0.2">
      <c r="A257" s="90" t="s">
        <v>0</v>
      </c>
      <c r="B257" s="90" t="s">
        <v>34</v>
      </c>
      <c r="C257" s="90" t="s">
        <v>1099</v>
      </c>
      <c r="D257" s="91">
        <v>34792</v>
      </c>
      <c r="E257" s="90">
        <v>30</v>
      </c>
      <c r="F257" s="90" t="s">
        <v>11</v>
      </c>
      <c r="G257" s="90" t="s">
        <v>10</v>
      </c>
      <c r="H257" s="90" t="s">
        <v>10</v>
      </c>
      <c r="I257" s="91">
        <v>42064</v>
      </c>
      <c r="J257" s="90" t="s">
        <v>182</v>
      </c>
      <c r="K257" s="90" t="s">
        <v>183</v>
      </c>
      <c r="L257" s="90" t="s">
        <v>7</v>
      </c>
      <c r="M257" s="90" t="s">
        <v>6</v>
      </c>
      <c r="N257" s="90" t="s">
        <v>119</v>
      </c>
      <c r="O257" s="91">
        <v>45751</v>
      </c>
      <c r="P257" s="91">
        <v>45754</v>
      </c>
      <c r="Q257" s="91">
        <v>45756</v>
      </c>
      <c r="R257" s="91">
        <v>45776</v>
      </c>
      <c r="S257" s="91">
        <v>45776</v>
      </c>
      <c r="T257" s="91">
        <v>45957</v>
      </c>
      <c r="U257" s="90" t="s">
        <v>60</v>
      </c>
      <c r="V257" s="90" t="s">
        <v>224</v>
      </c>
      <c r="W257" s="90">
        <v>2</v>
      </c>
      <c r="X257" s="90" t="s">
        <v>228</v>
      </c>
      <c r="Y257" s="91">
        <v>45748</v>
      </c>
      <c r="Z257" s="91">
        <v>45930</v>
      </c>
      <c r="AA257" s="88"/>
      <c r="AB257" s="88"/>
      <c r="AC257" s="92">
        <v>45957.356944444444</v>
      </c>
    </row>
    <row r="258" spans="1:29" customFormat="1" ht="16" x14ac:dyDescent="0.2">
      <c r="A258" s="90" t="s">
        <v>0</v>
      </c>
      <c r="B258" s="90" t="s">
        <v>132</v>
      </c>
      <c r="C258" s="90" t="s">
        <v>1100</v>
      </c>
      <c r="D258" s="91">
        <v>31046</v>
      </c>
      <c r="E258" s="90">
        <v>41</v>
      </c>
      <c r="F258" s="90" t="s">
        <v>11</v>
      </c>
      <c r="G258" s="90" t="s">
        <v>10</v>
      </c>
      <c r="H258" s="90" t="s">
        <v>10</v>
      </c>
      <c r="I258" s="91">
        <v>45658</v>
      </c>
      <c r="J258" s="90" t="s">
        <v>202</v>
      </c>
      <c r="K258" s="90" t="s">
        <v>1101</v>
      </c>
      <c r="L258" s="90" t="s">
        <v>4</v>
      </c>
      <c r="M258" s="90" t="s">
        <v>6</v>
      </c>
      <c r="N258" s="90" t="s">
        <v>119</v>
      </c>
      <c r="O258" s="91">
        <v>45750</v>
      </c>
      <c r="P258" s="91">
        <v>45756</v>
      </c>
      <c r="Q258" s="91">
        <v>45756</v>
      </c>
      <c r="R258" s="91">
        <v>45789</v>
      </c>
      <c r="S258" s="91">
        <v>45789</v>
      </c>
      <c r="T258" s="88"/>
      <c r="U258" s="90" t="s">
        <v>319</v>
      </c>
      <c r="V258" s="90" t="s">
        <v>32</v>
      </c>
      <c r="W258" s="90">
        <v>1</v>
      </c>
      <c r="X258" s="90" t="s">
        <v>228</v>
      </c>
      <c r="Y258" s="91">
        <v>45778</v>
      </c>
      <c r="Z258" s="91">
        <v>45961</v>
      </c>
      <c r="AA258" s="88"/>
      <c r="AB258" s="88"/>
      <c r="AC258" s="92">
        <v>45818.6</v>
      </c>
    </row>
    <row r="259" spans="1:29" customFormat="1" ht="16" x14ac:dyDescent="0.2">
      <c r="A259" s="90" t="s">
        <v>1</v>
      </c>
      <c r="B259" s="90" t="s">
        <v>1102</v>
      </c>
      <c r="C259" s="90" t="s">
        <v>1103</v>
      </c>
      <c r="D259" s="91">
        <v>30474</v>
      </c>
      <c r="E259" s="90">
        <v>42</v>
      </c>
      <c r="F259" s="90" t="s">
        <v>11</v>
      </c>
      <c r="G259" s="90" t="s">
        <v>10</v>
      </c>
      <c r="H259" s="90" t="s">
        <v>10</v>
      </c>
      <c r="I259" s="88"/>
      <c r="J259" s="90" t="s">
        <v>35</v>
      </c>
      <c r="K259" s="90" t="s">
        <v>272</v>
      </c>
      <c r="L259" s="90" t="s">
        <v>3</v>
      </c>
      <c r="M259" s="90" t="s">
        <v>6</v>
      </c>
      <c r="N259" s="90" t="s">
        <v>117</v>
      </c>
      <c r="O259" s="91">
        <v>45750</v>
      </c>
      <c r="P259" s="91">
        <v>45905</v>
      </c>
      <c r="Q259" s="91">
        <v>45769</v>
      </c>
      <c r="R259" s="91">
        <v>45838</v>
      </c>
      <c r="S259" s="91">
        <v>45870</v>
      </c>
      <c r="T259" s="88"/>
      <c r="U259" s="90" t="s">
        <v>328</v>
      </c>
      <c r="V259" s="90" t="s">
        <v>32</v>
      </c>
      <c r="W259" s="90">
        <v>2</v>
      </c>
      <c r="X259" s="90" t="s">
        <v>228</v>
      </c>
      <c r="Y259" s="91">
        <v>45870</v>
      </c>
      <c r="Z259" s="91">
        <v>46053</v>
      </c>
      <c r="AA259" s="88"/>
      <c r="AB259" s="88"/>
      <c r="AC259" s="92">
        <v>45923.700694444444</v>
      </c>
    </row>
    <row r="260" spans="1:29" customFormat="1" ht="16" x14ac:dyDescent="0.2">
      <c r="A260" s="90" t="s">
        <v>1</v>
      </c>
      <c r="B260" s="90" t="s">
        <v>1104</v>
      </c>
      <c r="C260" s="90" t="s">
        <v>1105</v>
      </c>
      <c r="D260" s="91">
        <v>25814</v>
      </c>
      <c r="E260" s="90">
        <v>55</v>
      </c>
      <c r="F260" s="90" t="s">
        <v>10</v>
      </c>
      <c r="G260" s="90" t="s">
        <v>11</v>
      </c>
      <c r="H260" s="90" t="s">
        <v>10</v>
      </c>
      <c r="I260" s="88"/>
      <c r="J260" s="90" t="s">
        <v>598</v>
      </c>
      <c r="K260" s="90" t="s">
        <v>599</v>
      </c>
      <c r="L260" s="90" t="s">
        <v>3</v>
      </c>
      <c r="M260" s="90" t="s">
        <v>396</v>
      </c>
      <c r="N260" s="90" t="s">
        <v>119</v>
      </c>
      <c r="O260" s="91">
        <v>45750</v>
      </c>
      <c r="P260" s="91">
        <v>45754</v>
      </c>
      <c r="Q260" s="91">
        <v>45756</v>
      </c>
      <c r="R260" s="91">
        <v>45789</v>
      </c>
      <c r="S260" s="91">
        <v>45804</v>
      </c>
      <c r="T260" s="88"/>
      <c r="U260" s="88"/>
      <c r="V260" s="90" t="s">
        <v>32</v>
      </c>
      <c r="W260" s="90">
        <v>2</v>
      </c>
      <c r="X260" s="90" t="s">
        <v>228</v>
      </c>
      <c r="Y260" s="91">
        <v>45778</v>
      </c>
      <c r="Z260" s="91">
        <v>45961</v>
      </c>
      <c r="AA260" s="88"/>
      <c r="AB260" s="88"/>
      <c r="AC260" s="92">
        <v>45804.404166666667</v>
      </c>
    </row>
    <row r="261" spans="1:29" customFormat="1" ht="16" x14ac:dyDescent="0.2">
      <c r="A261" s="90" t="s">
        <v>0</v>
      </c>
      <c r="B261" s="90" t="s">
        <v>1106</v>
      </c>
      <c r="C261" s="90" t="s">
        <v>1107</v>
      </c>
      <c r="D261" s="91">
        <v>31367</v>
      </c>
      <c r="E261" s="90">
        <v>40</v>
      </c>
      <c r="F261" s="90" t="s">
        <v>11</v>
      </c>
      <c r="G261" s="90" t="s">
        <v>11</v>
      </c>
      <c r="H261" s="90" t="s">
        <v>10</v>
      </c>
      <c r="I261" s="88"/>
      <c r="J261" s="90" t="s">
        <v>1108</v>
      </c>
      <c r="K261" s="90" t="s">
        <v>1109</v>
      </c>
      <c r="L261" s="90" t="s">
        <v>7</v>
      </c>
      <c r="M261" s="90" t="s">
        <v>6</v>
      </c>
      <c r="N261" s="88"/>
      <c r="O261" s="91">
        <v>45749</v>
      </c>
      <c r="P261" s="91">
        <v>45772</v>
      </c>
      <c r="Q261" s="91">
        <v>45798</v>
      </c>
      <c r="R261" s="91">
        <v>45810</v>
      </c>
      <c r="S261" s="88"/>
      <c r="T261" s="91">
        <v>45950</v>
      </c>
      <c r="U261" s="90" t="s">
        <v>712</v>
      </c>
      <c r="V261" s="90" t="s">
        <v>224</v>
      </c>
      <c r="W261" s="90">
        <v>3</v>
      </c>
      <c r="X261" s="90" t="s">
        <v>228</v>
      </c>
      <c r="Y261" s="88"/>
      <c r="Z261" s="88"/>
      <c r="AA261" s="88"/>
      <c r="AB261" s="88"/>
      <c r="AC261" s="92">
        <v>45950.686111111114</v>
      </c>
    </row>
    <row r="262" spans="1:29" customFormat="1" ht="16" x14ac:dyDescent="0.2">
      <c r="A262" s="90" t="s">
        <v>0</v>
      </c>
      <c r="B262" s="90" t="s">
        <v>157</v>
      </c>
      <c r="C262" s="90" t="s">
        <v>1110</v>
      </c>
      <c r="D262" s="91">
        <v>45757</v>
      </c>
      <c r="E262" s="90">
        <v>0</v>
      </c>
      <c r="F262" s="90" t="s">
        <v>10</v>
      </c>
      <c r="G262" s="90" t="s">
        <v>11</v>
      </c>
      <c r="H262" s="90" t="s">
        <v>10</v>
      </c>
      <c r="I262" s="91">
        <v>44562</v>
      </c>
      <c r="J262" s="90" t="s">
        <v>237</v>
      </c>
      <c r="K262" s="90" t="s">
        <v>243</v>
      </c>
      <c r="L262" s="90" t="s">
        <v>3</v>
      </c>
      <c r="M262" s="90" t="s">
        <v>6</v>
      </c>
      <c r="N262" s="90" t="s">
        <v>119</v>
      </c>
      <c r="O262" s="91">
        <v>45749</v>
      </c>
      <c r="P262" s="91">
        <v>45880</v>
      </c>
      <c r="Q262" s="91">
        <v>45782</v>
      </c>
      <c r="R262" s="91">
        <v>45880</v>
      </c>
      <c r="S262" s="91">
        <v>45895</v>
      </c>
      <c r="T262" s="88"/>
      <c r="U262" s="90" t="s">
        <v>328</v>
      </c>
      <c r="V262" s="90" t="s">
        <v>32</v>
      </c>
      <c r="W262" s="90">
        <v>2</v>
      </c>
      <c r="X262" s="90" t="s">
        <v>125</v>
      </c>
      <c r="Y262" s="91">
        <v>45870</v>
      </c>
      <c r="Z262" s="91">
        <v>46053</v>
      </c>
      <c r="AA262" s="88"/>
      <c r="AB262" s="88"/>
      <c r="AC262" s="92">
        <v>45908.664583333331</v>
      </c>
    </row>
    <row r="263" spans="1:29" customFormat="1" ht="16" x14ac:dyDescent="0.2">
      <c r="A263" s="90" t="s">
        <v>1</v>
      </c>
      <c r="B263" s="90" t="s">
        <v>998</v>
      </c>
      <c r="C263" s="90" t="s">
        <v>999</v>
      </c>
      <c r="D263" s="91">
        <v>31513</v>
      </c>
      <c r="E263" s="90">
        <v>39</v>
      </c>
      <c r="F263" s="90" t="s">
        <v>11</v>
      </c>
      <c r="G263" s="90" t="s">
        <v>11</v>
      </c>
      <c r="H263" s="90" t="s">
        <v>10</v>
      </c>
      <c r="I263" s="91">
        <v>45658</v>
      </c>
      <c r="J263" s="90" t="s">
        <v>110</v>
      </c>
      <c r="K263" s="90" t="s">
        <v>128</v>
      </c>
      <c r="L263" s="90" t="s">
        <v>7</v>
      </c>
      <c r="M263" s="90" t="s">
        <v>6</v>
      </c>
      <c r="N263" s="88"/>
      <c r="O263" s="91">
        <v>45748</v>
      </c>
      <c r="P263" s="91">
        <v>45754</v>
      </c>
      <c r="Q263" s="91">
        <v>45756</v>
      </c>
      <c r="R263" s="91">
        <v>45782</v>
      </c>
      <c r="S263" s="91">
        <v>45790</v>
      </c>
      <c r="T263" s="88"/>
      <c r="U263" s="88"/>
      <c r="V263" s="90" t="s">
        <v>32</v>
      </c>
      <c r="W263" s="90">
        <v>1</v>
      </c>
      <c r="X263" s="90" t="s">
        <v>228</v>
      </c>
      <c r="Y263" s="91">
        <v>45778</v>
      </c>
      <c r="Z263" s="91">
        <v>45961</v>
      </c>
      <c r="AA263" s="88"/>
      <c r="AB263" s="88"/>
      <c r="AC263" s="92">
        <v>45951.625694444447</v>
      </c>
    </row>
    <row r="264" spans="1:29" customFormat="1" ht="16" x14ac:dyDescent="0.2">
      <c r="A264" s="90" t="s">
        <v>1</v>
      </c>
      <c r="B264" s="90" t="s">
        <v>1000</v>
      </c>
      <c r="C264" s="90" t="s">
        <v>1001</v>
      </c>
      <c r="D264" s="91">
        <v>26289</v>
      </c>
      <c r="E264" s="90">
        <v>54</v>
      </c>
      <c r="F264" s="90" t="s">
        <v>11</v>
      </c>
      <c r="G264" s="90" t="s">
        <v>10</v>
      </c>
      <c r="H264" s="90" t="s">
        <v>10</v>
      </c>
      <c r="I264" s="91">
        <v>45566</v>
      </c>
      <c r="J264" s="90" t="s">
        <v>881</v>
      </c>
      <c r="K264" s="90" t="s">
        <v>494</v>
      </c>
      <c r="L264" s="90" t="s">
        <v>3</v>
      </c>
      <c r="M264" s="90" t="s">
        <v>396</v>
      </c>
      <c r="N264" s="90" t="s">
        <v>119</v>
      </c>
      <c r="O264" s="91">
        <v>45748</v>
      </c>
      <c r="P264" s="91">
        <v>45755</v>
      </c>
      <c r="Q264" s="91">
        <v>45762</v>
      </c>
      <c r="R264" s="91">
        <v>45796</v>
      </c>
      <c r="S264" s="91">
        <v>45812</v>
      </c>
      <c r="T264" s="88"/>
      <c r="U264" s="88"/>
      <c r="V264" s="90" t="s">
        <v>32</v>
      </c>
      <c r="W264" s="90">
        <v>2</v>
      </c>
      <c r="X264" s="90" t="s">
        <v>228</v>
      </c>
      <c r="Y264" s="91">
        <v>45809</v>
      </c>
      <c r="Z264" s="91">
        <v>45991</v>
      </c>
      <c r="AA264" s="88"/>
      <c r="AB264" s="88"/>
      <c r="AC264" s="92">
        <v>45812.465277777781</v>
      </c>
    </row>
    <row r="265" spans="1:29" customFormat="1" ht="16" x14ac:dyDescent="0.2">
      <c r="A265" s="90" t="s">
        <v>0</v>
      </c>
      <c r="B265" s="90" t="s">
        <v>250</v>
      </c>
      <c r="C265" s="90" t="s">
        <v>1002</v>
      </c>
      <c r="D265" s="91">
        <v>27178</v>
      </c>
      <c r="E265" s="90">
        <v>51</v>
      </c>
      <c r="F265" s="90" t="s">
        <v>10</v>
      </c>
      <c r="G265" s="90" t="s">
        <v>10</v>
      </c>
      <c r="H265" s="90" t="s">
        <v>10</v>
      </c>
      <c r="I265" s="91">
        <v>42370</v>
      </c>
      <c r="J265" s="90" t="s">
        <v>275</v>
      </c>
      <c r="K265" s="90" t="s">
        <v>308</v>
      </c>
      <c r="L265" s="90" t="s">
        <v>5</v>
      </c>
      <c r="M265" s="90" t="s">
        <v>6</v>
      </c>
      <c r="N265" s="90" t="s">
        <v>119</v>
      </c>
      <c r="O265" s="91">
        <v>45748</v>
      </c>
      <c r="P265" s="91">
        <v>45758</v>
      </c>
      <c r="Q265" s="91">
        <v>45762</v>
      </c>
      <c r="R265" s="91">
        <v>45784</v>
      </c>
      <c r="S265" s="91">
        <v>45861</v>
      </c>
      <c r="T265" s="88"/>
      <c r="U265" s="88"/>
      <c r="V265" s="90" t="s">
        <v>32</v>
      </c>
      <c r="W265" s="90">
        <v>2</v>
      </c>
      <c r="X265" s="90" t="s">
        <v>228</v>
      </c>
      <c r="Y265" s="91">
        <v>45839</v>
      </c>
      <c r="Z265" s="91">
        <v>46022</v>
      </c>
      <c r="AA265" s="88"/>
      <c r="AB265" s="88"/>
      <c r="AC265" s="92">
        <v>45875.429861111108</v>
      </c>
    </row>
    <row r="266" spans="1:29" customFormat="1" ht="16" x14ac:dyDescent="0.2">
      <c r="A266" s="90" t="s">
        <v>1</v>
      </c>
      <c r="B266" s="90" t="s">
        <v>1003</v>
      </c>
      <c r="C266" s="90" t="s">
        <v>1004</v>
      </c>
      <c r="D266" s="91">
        <v>27066</v>
      </c>
      <c r="E266" s="90">
        <v>51</v>
      </c>
      <c r="F266" s="90" t="s">
        <v>11</v>
      </c>
      <c r="G266" s="90" t="s">
        <v>10</v>
      </c>
      <c r="H266" s="90" t="s">
        <v>10</v>
      </c>
      <c r="I266" s="91">
        <v>44682</v>
      </c>
      <c r="J266" s="90" t="s">
        <v>182</v>
      </c>
      <c r="K266" s="90" t="s">
        <v>183</v>
      </c>
      <c r="L266" s="90" t="s">
        <v>7</v>
      </c>
      <c r="M266" s="90" t="s">
        <v>6</v>
      </c>
      <c r="N266" s="88"/>
      <c r="O266" s="91">
        <v>45748</v>
      </c>
      <c r="P266" s="91">
        <v>45811</v>
      </c>
      <c r="Q266" s="91">
        <v>45790</v>
      </c>
      <c r="R266" s="91">
        <v>45811</v>
      </c>
      <c r="S266" s="91">
        <v>45811</v>
      </c>
      <c r="T266" s="88"/>
      <c r="U266" s="90" t="s">
        <v>319</v>
      </c>
      <c r="V266" s="90" t="s">
        <v>32</v>
      </c>
      <c r="W266" s="90">
        <v>6</v>
      </c>
      <c r="X266" s="90" t="s">
        <v>228</v>
      </c>
      <c r="Y266" s="91">
        <v>45809</v>
      </c>
      <c r="Z266" s="91">
        <v>45991</v>
      </c>
      <c r="AA266" s="88"/>
      <c r="AB266" s="88"/>
      <c r="AC266" s="92">
        <v>45945.655555555553</v>
      </c>
    </row>
    <row r="267" spans="1:29" customFormat="1" ht="16" x14ac:dyDescent="0.2">
      <c r="A267" s="90" t="s">
        <v>1</v>
      </c>
      <c r="B267" s="90" t="s">
        <v>1007</v>
      </c>
      <c r="C267" s="90" t="s">
        <v>1008</v>
      </c>
      <c r="D267" s="91">
        <v>26234</v>
      </c>
      <c r="E267" s="90">
        <v>54</v>
      </c>
      <c r="F267" s="90" t="s">
        <v>11</v>
      </c>
      <c r="G267" s="90" t="s">
        <v>10</v>
      </c>
      <c r="H267" s="90" t="s">
        <v>10</v>
      </c>
      <c r="I267" s="91">
        <v>45170</v>
      </c>
      <c r="J267" s="90" t="s">
        <v>1009</v>
      </c>
      <c r="K267" s="90" t="s">
        <v>1010</v>
      </c>
      <c r="L267" s="90" t="s">
        <v>7</v>
      </c>
      <c r="M267" s="90" t="s">
        <v>6</v>
      </c>
      <c r="N267" s="88"/>
      <c r="O267" s="91">
        <v>45747</v>
      </c>
      <c r="P267" s="91">
        <v>45772</v>
      </c>
      <c r="Q267" s="91">
        <v>45796</v>
      </c>
      <c r="R267" s="91">
        <v>45821</v>
      </c>
      <c r="S267" s="91">
        <v>45867</v>
      </c>
      <c r="T267" s="91">
        <v>45867</v>
      </c>
      <c r="U267" s="90" t="s">
        <v>92</v>
      </c>
      <c r="V267" s="90" t="s">
        <v>224</v>
      </c>
      <c r="W267" s="90">
        <v>1</v>
      </c>
      <c r="X267" s="90" t="s">
        <v>228</v>
      </c>
      <c r="Y267" s="88"/>
      <c r="Z267" s="88"/>
      <c r="AA267" s="88"/>
      <c r="AB267" s="88"/>
      <c r="AC267" s="92">
        <v>45902.492361111108</v>
      </c>
    </row>
    <row r="268" spans="1:29" customFormat="1" ht="16" x14ac:dyDescent="0.2">
      <c r="A268" s="90" t="s">
        <v>1</v>
      </c>
      <c r="B268" s="90" t="s">
        <v>1011</v>
      </c>
      <c r="C268" s="90" t="s">
        <v>180</v>
      </c>
      <c r="D268" s="91">
        <v>29603</v>
      </c>
      <c r="E268" s="90">
        <v>44</v>
      </c>
      <c r="F268" s="90" t="s">
        <v>10</v>
      </c>
      <c r="G268" s="90" t="s">
        <v>11</v>
      </c>
      <c r="H268" s="90" t="s">
        <v>10</v>
      </c>
      <c r="I268" s="91">
        <v>45383</v>
      </c>
      <c r="J268" s="90" t="s">
        <v>151</v>
      </c>
      <c r="K268" s="90" t="s">
        <v>152</v>
      </c>
      <c r="L268" s="90" t="s">
        <v>3</v>
      </c>
      <c r="M268" s="90" t="s">
        <v>6</v>
      </c>
      <c r="N268" s="90" t="s">
        <v>119</v>
      </c>
      <c r="O268" s="91">
        <v>45747</v>
      </c>
      <c r="P268" s="91">
        <v>45747</v>
      </c>
      <c r="Q268" s="91">
        <v>45748</v>
      </c>
      <c r="R268" s="91">
        <v>45791</v>
      </c>
      <c r="S268" s="91">
        <v>45791</v>
      </c>
      <c r="T268" s="91">
        <v>45953</v>
      </c>
      <c r="U268" s="90" t="s">
        <v>1114</v>
      </c>
      <c r="V268" s="90" t="s">
        <v>224</v>
      </c>
      <c r="W268" s="90">
        <v>1</v>
      </c>
      <c r="X268" s="90" t="s">
        <v>118</v>
      </c>
      <c r="Y268" s="91">
        <v>45778</v>
      </c>
      <c r="Z268" s="91">
        <v>45961</v>
      </c>
      <c r="AA268" s="88"/>
      <c r="AB268" s="88"/>
      <c r="AC268" s="92">
        <v>45953.59097222222</v>
      </c>
    </row>
    <row r="269" spans="1:29" customFormat="1" ht="16" x14ac:dyDescent="0.2">
      <c r="A269" s="90" t="s">
        <v>1</v>
      </c>
      <c r="B269" s="90" t="s">
        <v>1012</v>
      </c>
      <c r="C269" s="90" t="s">
        <v>1013</v>
      </c>
      <c r="D269" s="91">
        <v>25080</v>
      </c>
      <c r="E269" s="90">
        <v>57</v>
      </c>
      <c r="F269" s="90" t="s">
        <v>11</v>
      </c>
      <c r="G269" s="90" t="s">
        <v>10</v>
      </c>
      <c r="H269" s="90" t="s">
        <v>10</v>
      </c>
      <c r="I269" s="91">
        <v>45566</v>
      </c>
      <c r="J269" s="90" t="s">
        <v>1009</v>
      </c>
      <c r="K269" s="90" t="s">
        <v>1010</v>
      </c>
      <c r="L269" s="90" t="s">
        <v>7</v>
      </c>
      <c r="M269" s="90" t="s">
        <v>6</v>
      </c>
      <c r="N269" s="88"/>
      <c r="O269" s="91">
        <v>45747</v>
      </c>
      <c r="P269" s="91">
        <v>45772</v>
      </c>
      <c r="Q269" s="91">
        <v>45803</v>
      </c>
      <c r="R269" s="91">
        <v>45818</v>
      </c>
      <c r="S269" s="91">
        <v>45818</v>
      </c>
      <c r="T269" s="88"/>
      <c r="U269" s="88"/>
      <c r="V269" s="90" t="s">
        <v>32</v>
      </c>
      <c r="W269" s="90">
        <v>1</v>
      </c>
      <c r="X269" s="90" t="s">
        <v>228</v>
      </c>
      <c r="Y269" s="91">
        <v>45809</v>
      </c>
      <c r="Z269" s="91">
        <v>45991</v>
      </c>
      <c r="AA269" s="88"/>
      <c r="AB269" s="88"/>
      <c r="AC269" s="92">
        <v>45818.690972222219</v>
      </c>
    </row>
    <row r="270" spans="1:29" customFormat="1" ht="16" x14ac:dyDescent="0.2">
      <c r="A270" s="90" t="s">
        <v>0</v>
      </c>
      <c r="B270" s="90" t="s">
        <v>157</v>
      </c>
      <c r="C270" s="90" t="s">
        <v>1014</v>
      </c>
      <c r="D270" s="91">
        <v>34028</v>
      </c>
      <c r="E270" s="90">
        <v>32</v>
      </c>
      <c r="F270" s="90" t="s">
        <v>11</v>
      </c>
      <c r="G270" s="90" t="s">
        <v>11</v>
      </c>
      <c r="H270" s="90" t="s">
        <v>10</v>
      </c>
      <c r="I270" s="91">
        <v>40969</v>
      </c>
      <c r="J270" s="90" t="s">
        <v>1015</v>
      </c>
      <c r="K270" s="90" t="s">
        <v>243</v>
      </c>
      <c r="L270" s="90" t="s">
        <v>3</v>
      </c>
      <c r="M270" s="90" t="s">
        <v>6</v>
      </c>
      <c r="N270" s="90" t="s">
        <v>119</v>
      </c>
      <c r="O270" s="91">
        <v>45747</v>
      </c>
      <c r="P270" s="91">
        <v>45747</v>
      </c>
      <c r="Q270" s="91">
        <v>45747</v>
      </c>
      <c r="R270" s="91">
        <v>45777</v>
      </c>
      <c r="S270" s="91">
        <v>45777</v>
      </c>
      <c r="T270" s="91">
        <v>45908</v>
      </c>
      <c r="U270" s="90" t="s">
        <v>408</v>
      </c>
      <c r="V270" s="90" t="s">
        <v>224</v>
      </c>
      <c r="W270" s="90">
        <v>1</v>
      </c>
      <c r="X270" s="90" t="s">
        <v>118</v>
      </c>
      <c r="Y270" s="91">
        <v>45748</v>
      </c>
      <c r="Z270" s="91">
        <v>45930</v>
      </c>
      <c r="AA270" s="88"/>
      <c r="AB270" s="88"/>
      <c r="AC270" s="92">
        <v>45953.469444444447</v>
      </c>
    </row>
    <row r="271" spans="1:29" customFormat="1" ht="16" x14ac:dyDescent="0.2">
      <c r="A271" s="90" t="s">
        <v>1</v>
      </c>
      <c r="B271" s="90" t="s">
        <v>435</v>
      </c>
      <c r="C271" s="90" t="s">
        <v>1016</v>
      </c>
      <c r="D271" s="91">
        <v>35593</v>
      </c>
      <c r="E271" s="90">
        <v>28</v>
      </c>
      <c r="F271" s="90" t="s">
        <v>11</v>
      </c>
      <c r="G271" s="90" t="s">
        <v>10</v>
      </c>
      <c r="H271" s="90" t="s">
        <v>10</v>
      </c>
      <c r="I271" s="91">
        <v>45047</v>
      </c>
      <c r="J271" s="90" t="s">
        <v>686</v>
      </c>
      <c r="K271" s="90" t="s">
        <v>455</v>
      </c>
      <c r="L271" s="90" t="s">
        <v>4</v>
      </c>
      <c r="M271" s="90" t="s">
        <v>396</v>
      </c>
      <c r="N271" s="90" t="s">
        <v>120</v>
      </c>
      <c r="O271" s="91">
        <v>45747</v>
      </c>
      <c r="P271" s="91">
        <v>45957</v>
      </c>
      <c r="Q271" s="91">
        <v>45756</v>
      </c>
      <c r="R271" s="91">
        <v>45789</v>
      </c>
      <c r="S271" s="91">
        <v>45789</v>
      </c>
      <c r="T271" s="91">
        <v>45957</v>
      </c>
      <c r="U271" s="90" t="s">
        <v>407</v>
      </c>
      <c r="V271" s="90" t="s">
        <v>224</v>
      </c>
      <c r="W271" s="90">
        <v>1</v>
      </c>
      <c r="X271" s="90" t="s">
        <v>228</v>
      </c>
      <c r="Y271" s="91">
        <v>45778</v>
      </c>
      <c r="Z271" s="91">
        <v>45961</v>
      </c>
      <c r="AA271" s="88"/>
      <c r="AB271" s="88"/>
      <c r="AC271" s="92">
        <v>45957.578472222223</v>
      </c>
    </row>
    <row r="272" spans="1:29" customFormat="1" ht="16" x14ac:dyDescent="0.2">
      <c r="A272" s="90" t="s">
        <v>1</v>
      </c>
      <c r="B272" s="90" t="s">
        <v>484</v>
      </c>
      <c r="C272" s="90" t="s">
        <v>1017</v>
      </c>
      <c r="D272" s="91">
        <v>25130</v>
      </c>
      <c r="E272" s="90">
        <v>57</v>
      </c>
      <c r="F272" s="90" t="s">
        <v>11</v>
      </c>
      <c r="G272" s="90" t="s">
        <v>10</v>
      </c>
      <c r="H272" s="90" t="s">
        <v>10</v>
      </c>
      <c r="I272" s="91">
        <v>45474</v>
      </c>
      <c r="J272" s="90" t="s">
        <v>881</v>
      </c>
      <c r="K272" s="90" t="s">
        <v>494</v>
      </c>
      <c r="L272" s="90" t="s">
        <v>3</v>
      </c>
      <c r="M272" s="90" t="s">
        <v>396</v>
      </c>
      <c r="N272" s="90" t="s">
        <v>119</v>
      </c>
      <c r="O272" s="91">
        <v>45747</v>
      </c>
      <c r="P272" s="91">
        <v>45747</v>
      </c>
      <c r="Q272" s="91">
        <v>45763</v>
      </c>
      <c r="R272" s="91">
        <v>45800</v>
      </c>
      <c r="S272" s="91">
        <v>45748</v>
      </c>
      <c r="T272" s="88"/>
      <c r="U272" s="88"/>
      <c r="V272" s="90" t="s">
        <v>32</v>
      </c>
      <c r="W272" s="90">
        <v>1</v>
      </c>
      <c r="X272" s="90" t="s">
        <v>118</v>
      </c>
      <c r="Y272" s="91">
        <v>45748</v>
      </c>
      <c r="Z272" s="91">
        <v>45930</v>
      </c>
      <c r="AA272" s="88"/>
      <c r="AB272" s="88"/>
      <c r="AC272" s="92">
        <v>45908.441666666666</v>
      </c>
    </row>
    <row r="273" spans="1:29" customFormat="1" ht="16" x14ac:dyDescent="0.2">
      <c r="A273" s="90" t="s">
        <v>1</v>
      </c>
      <c r="B273" s="90" t="s">
        <v>1018</v>
      </c>
      <c r="C273" s="90" t="s">
        <v>1019</v>
      </c>
      <c r="D273" s="91">
        <v>22872</v>
      </c>
      <c r="E273" s="90">
        <v>63</v>
      </c>
      <c r="F273" s="90" t="s">
        <v>11</v>
      </c>
      <c r="G273" s="90" t="s">
        <v>10</v>
      </c>
      <c r="H273" s="90" t="s">
        <v>10</v>
      </c>
      <c r="I273" s="91">
        <v>43497</v>
      </c>
      <c r="J273" s="90" t="s">
        <v>734</v>
      </c>
      <c r="K273" s="90" t="s">
        <v>735</v>
      </c>
      <c r="L273" s="90" t="s">
        <v>4</v>
      </c>
      <c r="M273" s="90" t="s">
        <v>6</v>
      </c>
      <c r="N273" s="90" t="s">
        <v>119</v>
      </c>
      <c r="O273" s="91">
        <v>45742</v>
      </c>
      <c r="P273" s="91">
        <v>45756</v>
      </c>
      <c r="Q273" s="91">
        <v>45756</v>
      </c>
      <c r="R273" s="91">
        <v>45789</v>
      </c>
      <c r="S273" s="91">
        <v>45789</v>
      </c>
      <c r="T273" s="91">
        <v>45958</v>
      </c>
      <c r="U273" s="90" t="s">
        <v>408</v>
      </c>
      <c r="V273" s="90" t="s">
        <v>224</v>
      </c>
      <c r="W273" s="90">
        <v>3</v>
      </c>
      <c r="X273" s="90" t="s">
        <v>228</v>
      </c>
      <c r="Y273" s="91">
        <v>45778</v>
      </c>
      <c r="Z273" s="91">
        <v>45961</v>
      </c>
      <c r="AA273" s="88"/>
      <c r="AB273" s="88"/>
      <c r="AC273" s="92">
        <v>45958.461111111108</v>
      </c>
    </row>
    <row r="274" spans="1:29" customFormat="1" ht="16" x14ac:dyDescent="0.2">
      <c r="A274" s="90" t="s">
        <v>1</v>
      </c>
      <c r="B274" s="90" t="s">
        <v>233</v>
      </c>
      <c r="C274" s="90" t="s">
        <v>1111</v>
      </c>
      <c r="D274" s="91">
        <v>26058</v>
      </c>
      <c r="E274" s="90">
        <v>54</v>
      </c>
      <c r="F274" s="90" t="s">
        <v>11</v>
      </c>
      <c r="G274" s="90" t="s">
        <v>11</v>
      </c>
      <c r="H274" s="90" t="s">
        <v>10</v>
      </c>
      <c r="I274" s="91">
        <v>42339</v>
      </c>
      <c r="J274" s="90" t="s">
        <v>1005</v>
      </c>
      <c r="K274" s="90" t="s">
        <v>1006</v>
      </c>
      <c r="L274" s="90" t="s">
        <v>4</v>
      </c>
      <c r="M274" s="90" t="s">
        <v>6</v>
      </c>
      <c r="N274" s="90" t="s">
        <v>119</v>
      </c>
      <c r="O274" s="91">
        <v>45742</v>
      </c>
      <c r="P274" s="91">
        <v>45742</v>
      </c>
      <c r="Q274" s="91">
        <v>45747</v>
      </c>
      <c r="R274" s="91">
        <v>45771</v>
      </c>
      <c r="S274" s="91">
        <v>45771</v>
      </c>
      <c r="T274" s="88"/>
      <c r="U274" s="90" t="s">
        <v>320</v>
      </c>
      <c r="V274" s="90" t="s">
        <v>32</v>
      </c>
      <c r="W274" s="90">
        <v>1</v>
      </c>
      <c r="X274" s="90" t="s">
        <v>125</v>
      </c>
      <c r="Y274" s="91">
        <v>45748</v>
      </c>
      <c r="Z274" s="91">
        <v>45930</v>
      </c>
      <c r="AA274" s="91">
        <v>45931</v>
      </c>
      <c r="AB274" s="91">
        <v>46022</v>
      </c>
      <c r="AC274" s="92">
        <v>45918.427777777775</v>
      </c>
    </row>
    <row r="275" spans="1:29" customFormat="1" ht="16" x14ac:dyDescent="0.2">
      <c r="A275" s="90" t="s">
        <v>0</v>
      </c>
      <c r="B275" s="90" t="s">
        <v>351</v>
      </c>
      <c r="C275" s="90" t="s">
        <v>1020</v>
      </c>
      <c r="D275" s="91">
        <v>23613</v>
      </c>
      <c r="E275" s="90">
        <v>61</v>
      </c>
      <c r="F275" s="90" t="s">
        <v>10</v>
      </c>
      <c r="G275" s="90" t="s">
        <v>11</v>
      </c>
      <c r="H275" s="90" t="s">
        <v>10</v>
      </c>
      <c r="I275" s="91">
        <v>44621</v>
      </c>
      <c r="J275" s="90" t="s">
        <v>1021</v>
      </c>
      <c r="K275" s="90" t="s">
        <v>335</v>
      </c>
      <c r="L275" s="90" t="s">
        <v>5</v>
      </c>
      <c r="M275" s="90" t="s">
        <v>6</v>
      </c>
      <c r="N275" s="90" t="s">
        <v>119</v>
      </c>
      <c r="O275" s="91">
        <v>45741</v>
      </c>
      <c r="P275" s="91">
        <v>45741</v>
      </c>
      <c r="Q275" s="91">
        <v>45743</v>
      </c>
      <c r="R275" s="91">
        <v>45770</v>
      </c>
      <c r="S275" s="91">
        <v>45770</v>
      </c>
      <c r="T275" s="88"/>
      <c r="U275" s="90" t="s">
        <v>320</v>
      </c>
      <c r="V275" s="90" t="s">
        <v>32</v>
      </c>
      <c r="W275" s="90">
        <v>1</v>
      </c>
      <c r="X275" s="90" t="s">
        <v>228</v>
      </c>
      <c r="Y275" s="91">
        <v>45748</v>
      </c>
      <c r="Z275" s="91">
        <v>45930</v>
      </c>
      <c r="AA275" s="91">
        <v>45931</v>
      </c>
      <c r="AB275" s="91">
        <v>45991</v>
      </c>
      <c r="AC275" s="92">
        <v>45918.354861111111</v>
      </c>
    </row>
    <row r="276" spans="1:29" customFormat="1" ht="16" x14ac:dyDescent="0.2">
      <c r="A276" s="90" t="s">
        <v>1</v>
      </c>
      <c r="B276" s="90" t="s">
        <v>358</v>
      </c>
      <c r="C276" s="90" t="s">
        <v>1022</v>
      </c>
      <c r="D276" s="91">
        <v>33870</v>
      </c>
      <c r="E276" s="90">
        <v>33</v>
      </c>
      <c r="F276" s="90" t="s">
        <v>11</v>
      </c>
      <c r="G276" s="90" t="s">
        <v>11</v>
      </c>
      <c r="H276" s="90" t="s">
        <v>10</v>
      </c>
      <c r="I276" s="91">
        <v>44501</v>
      </c>
      <c r="J276" s="90" t="s">
        <v>161</v>
      </c>
      <c r="K276" s="90" t="s">
        <v>208</v>
      </c>
      <c r="L276" s="90" t="s">
        <v>7</v>
      </c>
      <c r="M276" s="90" t="s">
        <v>6</v>
      </c>
      <c r="N276" s="90" t="s">
        <v>225</v>
      </c>
      <c r="O276" s="91">
        <v>45741</v>
      </c>
      <c r="P276" s="91">
        <v>45744</v>
      </c>
      <c r="Q276" s="91">
        <v>45744</v>
      </c>
      <c r="R276" s="91">
        <v>45758</v>
      </c>
      <c r="S276" s="91">
        <v>45804</v>
      </c>
      <c r="T276" s="88"/>
      <c r="U276" s="88"/>
      <c r="V276" s="90" t="s">
        <v>32</v>
      </c>
      <c r="W276" s="90">
        <v>3</v>
      </c>
      <c r="X276" s="90" t="s">
        <v>228</v>
      </c>
      <c r="Y276" s="91">
        <v>45778</v>
      </c>
      <c r="Z276" s="91">
        <v>45961</v>
      </c>
      <c r="AA276" s="88"/>
      <c r="AB276" s="88"/>
      <c r="AC276" s="92">
        <v>45873.472916666666</v>
      </c>
    </row>
    <row r="277" spans="1:29" customFormat="1" ht="16" x14ac:dyDescent="0.2">
      <c r="A277" s="90" t="s">
        <v>0</v>
      </c>
      <c r="B277" s="90" t="s">
        <v>1023</v>
      </c>
      <c r="C277" s="90" t="s">
        <v>1024</v>
      </c>
      <c r="D277" s="91">
        <v>32665</v>
      </c>
      <c r="E277" s="90">
        <v>36</v>
      </c>
      <c r="F277" s="90" t="s">
        <v>11</v>
      </c>
      <c r="G277" s="90" t="s">
        <v>10</v>
      </c>
      <c r="H277" s="90" t="s">
        <v>10</v>
      </c>
      <c r="I277" s="91">
        <v>43132</v>
      </c>
      <c r="J277" s="90" t="s">
        <v>131</v>
      </c>
      <c r="K277" s="90" t="s">
        <v>133</v>
      </c>
      <c r="L277" s="90" t="s">
        <v>3</v>
      </c>
      <c r="M277" s="90" t="s">
        <v>6</v>
      </c>
      <c r="N277" s="88"/>
      <c r="O277" s="91">
        <v>45740</v>
      </c>
      <c r="P277" s="91">
        <v>45744</v>
      </c>
      <c r="Q277" s="91">
        <v>45757</v>
      </c>
      <c r="R277" s="91">
        <v>45791</v>
      </c>
      <c r="S277" s="91">
        <v>45791</v>
      </c>
      <c r="T277" s="91">
        <v>45832</v>
      </c>
      <c r="U277" s="90" t="s">
        <v>214</v>
      </c>
      <c r="V277" s="90" t="s">
        <v>224</v>
      </c>
      <c r="W277" s="90">
        <v>1</v>
      </c>
      <c r="X277" s="90" t="s">
        <v>118</v>
      </c>
      <c r="Y277" s="88"/>
      <c r="Z277" s="88"/>
      <c r="AA277" s="88"/>
      <c r="AB277" s="88"/>
      <c r="AC277" s="92">
        <v>45832.705555555556</v>
      </c>
    </row>
    <row r="278" spans="1:29" customFormat="1" ht="16" x14ac:dyDescent="0.2">
      <c r="A278" s="90" t="s">
        <v>0</v>
      </c>
      <c r="B278" s="90" t="s">
        <v>992</v>
      </c>
      <c r="C278" s="90" t="s">
        <v>993</v>
      </c>
      <c r="D278" s="91">
        <v>24027</v>
      </c>
      <c r="E278" s="90">
        <v>60</v>
      </c>
      <c r="F278" s="90" t="s">
        <v>11</v>
      </c>
      <c r="G278" s="90" t="s">
        <v>11</v>
      </c>
      <c r="H278" s="90" t="s">
        <v>10</v>
      </c>
      <c r="I278" s="91">
        <v>44958</v>
      </c>
      <c r="J278" s="90" t="s">
        <v>234</v>
      </c>
      <c r="K278" s="90" t="s">
        <v>994</v>
      </c>
      <c r="L278" s="90" t="s">
        <v>4</v>
      </c>
      <c r="M278" s="90" t="s">
        <v>6</v>
      </c>
      <c r="N278" s="90" t="s">
        <v>119</v>
      </c>
      <c r="O278" s="91">
        <v>45736</v>
      </c>
      <c r="P278" s="91">
        <v>45737</v>
      </c>
      <c r="Q278" s="91">
        <v>45743</v>
      </c>
      <c r="R278" s="91">
        <v>45756</v>
      </c>
      <c r="S278" s="91">
        <v>45756</v>
      </c>
      <c r="T278" s="88"/>
      <c r="U278" s="90" t="s">
        <v>320</v>
      </c>
      <c r="V278" s="90" t="s">
        <v>32</v>
      </c>
      <c r="W278" s="90">
        <v>1</v>
      </c>
      <c r="X278" s="90" t="s">
        <v>228</v>
      </c>
      <c r="Y278" s="91">
        <v>45748</v>
      </c>
      <c r="Z278" s="91">
        <v>45930</v>
      </c>
      <c r="AA278" s="88"/>
      <c r="AB278" s="88"/>
      <c r="AC278" s="92">
        <v>45918.46597222222</v>
      </c>
    </row>
    <row r="279" spans="1:29" customFormat="1" ht="16" x14ac:dyDescent="0.2">
      <c r="A279" s="90" t="s">
        <v>0</v>
      </c>
      <c r="B279" s="90" t="s">
        <v>275</v>
      </c>
      <c r="C279" s="90" t="s">
        <v>995</v>
      </c>
      <c r="D279" s="91">
        <v>30797</v>
      </c>
      <c r="E279" s="90">
        <v>41</v>
      </c>
      <c r="F279" s="90" t="s">
        <v>11</v>
      </c>
      <c r="G279" s="90" t="s">
        <v>11</v>
      </c>
      <c r="H279" s="90" t="s">
        <v>10</v>
      </c>
      <c r="I279" s="91">
        <v>41760</v>
      </c>
      <c r="J279" s="90" t="s">
        <v>165</v>
      </c>
      <c r="K279" s="90" t="s">
        <v>166</v>
      </c>
      <c r="L279" s="90" t="s">
        <v>3</v>
      </c>
      <c r="M279" s="90" t="s">
        <v>6</v>
      </c>
      <c r="N279" s="90" t="s">
        <v>174</v>
      </c>
      <c r="O279" s="91">
        <v>45736</v>
      </c>
      <c r="P279" s="91">
        <v>45736</v>
      </c>
      <c r="Q279" s="91">
        <v>45737</v>
      </c>
      <c r="R279" s="91">
        <v>45749</v>
      </c>
      <c r="S279" s="91">
        <v>45749</v>
      </c>
      <c r="T279" s="91">
        <v>45924</v>
      </c>
      <c r="U279" s="90" t="s">
        <v>319</v>
      </c>
      <c r="V279" s="90" t="s">
        <v>224</v>
      </c>
      <c r="W279" s="90">
        <v>1</v>
      </c>
      <c r="X279" s="90" t="s">
        <v>118</v>
      </c>
      <c r="Y279" s="91">
        <v>45748</v>
      </c>
      <c r="Z279" s="91">
        <v>45930</v>
      </c>
      <c r="AA279" s="88"/>
      <c r="AB279" s="88"/>
      <c r="AC279" s="92">
        <v>45924.580555555556</v>
      </c>
    </row>
    <row r="280" spans="1:29" customFormat="1" ht="16" x14ac:dyDescent="0.2">
      <c r="A280" s="90" t="s">
        <v>1</v>
      </c>
      <c r="B280" s="90" t="s">
        <v>996</v>
      </c>
      <c r="C280" s="90" t="s">
        <v>997</v>
      </c>
      <c r="D280" s="91">
        <v>28648</v>
      </c>
      <c r="E280" s="90">
        <v>47</v>
      </c>
      <c r="F280" s="90" t="s">
        <v>11</v>
      </c>
      <c r="G280" s="90" t="s">
        <v>10</v>
      </c>
      <c r="H280" s="90" t="s">
        <v>10</v>
      </c>
      <c r="I280" s="91">
        <v>43009</v>
      </c>
      <c r="J280" s="90" t="s">
        <v>371</v>
      </c>
      <c r="K280" s="90" t="s">
        <v>372</v>
      </c>
      <c r="L280" s="90" t="s">
        <v>3</v>
      </c>
      <c r="M280" s="90" t="s">
        <v>6</v>
      </c>
      <c r="N280" s="90" t="s">
        <v>119</v>
      </c>
      <c r="O280" s="91">
        <v>45736</v>
      </c>
      <c r="P280" s="91">
        <v>45736</v>
      </c>
      <c r="Q280" s="91">
        <v>45737</v>
      </c>
      <c r="R280" s="91">
        <v>45763</v>
      </c>
      <c r="S280" s="91">
        <v>45763</v>
      </c>
      <c r="T280" s="88"/>
      <c r="U280" s="88"/>
      <c r="V280" s="90" t="s">
        <v>32</v>
      </c>
      <c r="W280" s="90">
        <v>1</v>
      </c>
      <c r="X280" s="90" t="s">
        <v>118</v>
      </c>
      <c r="Y280" s="91">
        <v>45748</v>
      </c>
      <c r="Z280" s="91">
        <v>45930</v>
      </c>
      <c r="AA280" s="88"/>
      <c r="AB280" s="88"/>
      <c r="AC280" s="92">
        <v>45763.497916666667</v>
      </c>
    </row>
    <row r="281" spans="1:29" customFormat="1" ht="16" x14ac:dyDescent="0.2">
      <c r="A281" s="90" t="s">
        <v>1</v>
      </c>
      <c r="B281" s="90" t="s">
        <v>952</v>
      </c>
      <c r="C281" s="90" t="s">
        <v>726</v>
      </c>
      <c r="D281" s="91">
        <v>24631</v>
      </c>
      <c r="E281" s="90">
        <v>58</v>
      </c>
      <c r="F281" s="90" t="s">
        <v>10</v>
      </c>
      <c r="G281" s="90" t="s">
        <v>10</v>
      </c>
      <c r="H281" s="90" t="s">
        <v>10</v>
      </c>
      <c r="I281" s="91">
        <v>45566</v>
      </c>
      <c r="J281" s="90" t="s">
        <v>429</v>
      </c>
      <c r="K281" s="90" t="s">
        <v>397</v>
      </c>
      <c r="L281" s="90" t="s">
        <v>7</v>
      </c>
      <c r="M281" s="90" t="s">
        <v>6</v>
      </c>
      <c r="N281" s="90" t="s">
        <v>225</v>
      </c>
      <c r="O281" s="91">
        <v>45735</v>
      </c>
      <c r="P281" s="91">
        <v>45744</v>
      </c>
      <c r="Q281" s="91">
        <v>45748</v>
      </c>
      <c r="R281" s="91">
        <v>45763</v>
      </c>
      <c r="S281" s="91">
        <v>45763</v>
      </c>
      <c r="T281" s="91">
        <v>45953</v>
      </c>
      <c r="U281" s="90" t="s">
        <v>218</v>
      </c>
      <c r="V281" s="90" t="s">
        <v>224</v>
      </c>
      <c r="W281" s="90">
        <v>1</v>
      </c>
      <c r="X281" s="90" t="s">
        <v>228</v>
      </c>
      <c r="Y281" s="91">
        <v>45748</v>
      </c>
      <c r="Z281" s="91">
        <v>45930</v>
      </c>
      <c r="AA281" s="88"/>
      <c r="AB281" s="88"/>
      <c r="AC281" s="92">
        <v>45953.584027777775</v>
      </c>
    </row>
    <row r="282" spans="1:29" customFormat="1" ht="16" x14ac:dyDescent="0.2">
      <c r="A282" s="90" t="s">
        <v>1</v>
      </c>
      <c r="B282" s="90" t="s">
        <v>917</v>
      </c>
      <c r="C282" s="90" t="s">
        <v>953</v>
      </c>
      <c r="D282" s="91">
        <v>27030</v>
      </c>
      <c r="E282" s="90">
        <v>51</v>
      </c>
      <c r="F282" s="90" t="s">
        <v>11</v>
      </c>
      <c r="G282" s="90" t="s">
        <v>10</v>
      </c>
      <c r="H282" s="90" t="s">
        <v>10</v>
      </c>
      <c r="I282" s="91">
        <v>44531</v>
      </c>
      <c r="J282" s="90" t="s">
        <v>244</v>
      </c>
      <c r="K282" s="90" t="s">
        <v>954</v>
      </c>
      <c r="L282" s="90" t="s">
        <v>3</v>
      </c>
      <c r="M282" s="90" t="s">
        <v>6</v>
      </c>
      <c r="N282" s="88"/>
      <c r="O282" s="91">
        <v>45735</v>
      </c>
      <c r="P282" s="88"/>
      <c r="Q282" s="88"/>
      <c r="R282" s="88"/>
      <c r="S282" s="88"/>
      <c r="T282" s="88"/>
      <c r="U282" s="88"/>
      <c r="V282" s="90" t="s">
        <v>227</v>
      </c>
      <c r="W282" s="90">
        <v>0</v>
      </c>
      <c r="X282" s="88"/>
      <c r="Y282" s="88"/>
      <c r="Z282" s="88"/>
      <c r="AA282" s="88"/>
      <c r="AB282" s="88"/>
      <c r="AC282" s="92">
        <v>45736.509027777778</v>
      </c>
    </row>
    <row r="283" spans="1:29" customFormat="1" ht="16" x14ac:dyDescent="0.2">
      <c r="A283" s="90" t="s">
        <v>0</v>
      </c>
      <c r="B283" s="90" t="s">
        <v>499</v>
      </c>
      <c r="C283" s="90" t="s">
        <v>955</v>
      </c>
      <c r="D283" s="91">
        <v>25912</v>
      </c>
      <c r="E283" s="90">
        <v>55</v>
      </c>
      <c r="F283" s="90" t="s">
        <v>10</v>
      </c>
      <c r="G283" s="90" t="s">
        <v>11</v>
      </c>
      <c r="H283" s="90" t="s">
        <v>10</v>
      </c>
      <c r="I283" s="91">
        <v>45231</v>
      </c>
      <c r="J283" s="90" t="s">
        <v>360</v>
      </c>
      <c r="K283" s="90" t="s">
        <v>361</v>
      </c>
      <c r="L283" s="90" t="s">
        <v>3</v>
      </c>
      <c r="M283" s="90" t="s">
        <v>6</v>
      </c>
      <c r="N283" s="90" t="s">
        <v>119</v>
      </c>
      <c r="O283" s="91">
        <v>45734</v>
      </c>
      <c r="P283" s="91">
        <v>45741</v>
      </c>
      <c r="Q283" s="91">
        <v>45743</v>
      </c>
      <c r="R283" s="91">
        <v>45756</v>
      </c>
      <c r="S283" s="91">
        <v>45756</v>
      </c>
      <c r="T283" s="91">
        <v>45921</v>
      </c>
      <c r="U283" s="90" t="s">
        <v>1114</v>
      </c>
      <c r="V283" s="90" t="s">
        <v>224</v>
      </c>
      <c r="W283" s="90">
        <v>1</v>
      </c>
      <c r="X283" s="90" t="s">
        <v>118</v>
      </c>
      <c r="Y283" s="91">
        <v>45748</v>
      </c>
      <c r="Z283" s="91">
        <v>45930</v>
      </c>
      <c r="AA283" s="88"/>
      <c r="AB283" s="88"/>
      <c r="AC283" s="92">
        <v>45921.442361111112</v>
      </c>
    </row>
    <row r="284" spans="1:29" customFormat="1" ht="16" x14ac:dyDescent="0.2">
      <c r="A284" s="90" t="s">
        <v>0</v>
      </c>
      <c r="B284" s="90" t="s">
        <v>266</v>
      </c>
      <c r="C284" s="90" t="s">
        <v>956</v>
      </c>
      <c r="D284" s="91">
        <v>23712</v>
      </c>
      <c r="E284" s="90">
        <v>61</v>
      </c>
      <c r="F284" s="90" t="s">
        <v>11</v>
      </c>
      <c r="G284" s="90" t="s">
        <v>10</v>
      </c>
      <c r="H284" s="90" t="s">
        <v>10</v>
      </c>
      <c r="I284" s="91">
        <v>43617</v>
      </c>
      <c r="J284" s="90" t="s">
        <v>485</v>
      </c>
      <c r="K284" s="90" t="s">
        <v>211</v>
      </c>
      <c r="L284" s="90" t="s">
        <v>7</v>
      </c>
      <c r="M284" s="90" t="s">
        <v>6</v>
      </c>
      <c r="N284" s="90" t="s">
        <v>120</v>
      </c>
      <c r="O284" s="91">
        <v>45734</v>
      </c>
      <c r="P284" s="91">
        <v>45744</v>
      </c>
      <c r="Q284" s="91">
        <v>45748</v>
      </c>
      <c r="R284" s="91">
        <v>45776</v>
      </c>
      <c r="S284" s="91">
        <v>45776</v>
      </c>
      <c r="T284" s="91">
        <v>45930</v>
      </c>
      <c r="U284" s="90" t="s">
        <v>320</v>
      </c>
      <c r="V284" s="90" t="s">
        <v>224</v>
      </c>
      <c r="W284" s="90">
        <v>2</v>
      </c>
      <c r="X284" s="90" t="s">
        <v>228</v>
      </c>
      <c r="Y284" s="91">
        <v>45748</v>
      </c>
      <c r="Z284" s="91">
        <v>45930</v>
      </c>
      <c r="AA284" s="88"/>
      <c r="AB284" s="88"/>
      <c r="AC284" s="92">
        <v>45952.55</v>
      </c>
    </row>
    <row r="285" spans="1:29" customFormat="1" ht="16" x14ac:dyDescent="0.2">
      <c r="A285" s="90" t="s">
        <v>1</v>
      </c>
      <c r="B285" s="90" t="s">
        <v>957</v>
      </c>
      <c r="C285" s="90" t="s">
        <v>958</v>
      </c>
      <c r="D285" s="91">
        <v>24523</v>
      </c>
      <c r="E285" s="90">
        <v>58</v>
      </c>
      <c r="F285" s="90" t="s">
        <v>11</v>
      </c>
      <c r="G285" s="90" t="s">
        <v>10</v>
      </c>
      <c r="H285" s="90" t="s">
        <v>10</v>
      </c>
      <c r="I285" s="91">
        <v>45627</v>
      </c>
      <c r="J285" s="90" t="s">
        <v>409</v>
      </c>
      <c r="K285" s="90" t="s">
        <v>959</v>
      </c>
      <c r="L285" s="90" t="s">
        <v>7</v>
      </c>
      <c r="M285" s="90" t="s">
        <v>6</v>
      </c>
      <c r="N285" s="90" t="s">
        <v>119</v>
      </c>
      <c r="O285" s="91">
        <v>45734</v>
      </c>
      <c r="P285" s="91">
        <v>45744</v>
      </c>
      <c r="Q285" s="91">
        <v>45744</v>
      </c>
      <c r="R285" s="91">
        <v>45748</v>
      </c>
      <c r="S285" s="91">
        <v>45748</v>
      </c>
      <c r="T285" s="91">
        <v>45811</v>
      </c>
      <c r="U285" s="90" t="s">
        <v>407</v>
      </c>
      <c r="V285" s="90" t="s">
        <v>224</v>
      </c>
      <c r="W285" s="90">
        <v>1</v>
      </c>
      <c r="X285" s="90" t="s">
        <v>228</v>
      </c>
      <c r="Y285" s="91">
        <v>45748</v>
      </c>
      <c r="Z285" s="91">
        <v>45930</v>
      </c>
      <c r="AA285" s="88"/>
      <c r="AB285" s="88"/>
      <c r="AC285" s="92">
        <v>45883.704861111109</v>
      </c>
    </row>
    <row r="286" spans="1:29" customFormat="1" ht="16" x14ac:dyDescent="0.2">
      <c r="A286" s="90" t="s">
        <v>0</v>
      </c>
      <c r="B286" s="90" t="s">
        <v>960</v>
      </c>
      <c r="C286" s="90" t="s">
        <v>648</v>
      </c>
      <c r="D286" s="91">
        <v>24168</v>
      </c>
      <c r="E286" s="90">
        <v>59</v>
      </c>
      <c r="F286" s="90" t="s">
        <v>11</v>
      </c>
      <c r="G286" s="90" t="s">
        <v>11</v>
      </c>
      <c r="H286" s="90" t="s">
        <v>10</v>
      </c>
      <c r="I286" s="88"/>
      <c r="J286" s="90" t="s">
        <v>145</v>
      </c>
      <c r="K286" s="90" t="s">
        <v>146</v>
      </c>
      <c r="L286" s="90" t="s">
        <v>3</v>
      </c>
      <c r="M286" s="90" t="s">
        <v>6</v>
      </c>
      <c r="N286" s="90" t="s">
        <v>119</v>
      </c>
      <c r="O286" s="91">
        <v>45733</v>
      </c>
      <c r="P286" s="91">
        <v>45733</v>
      </c>
      <c r="Q286" s="91">
        <v>45737</v>
      </c>
      <c r="R286" s="91">
        <v>45749</v>
      </c>
      <c r="S286" s="91">
        <v>45749</v>
      </c>
      <c r="T286" s="91">
        <v>45845</v>
      </c>
      <c r="U286" s="90" t="s">
        <v>60</v>
      </c>
      <c r="V286" s="90" t="s">
        <v>224</v>
      </c>
      <c r="W286" s="90">
        <v>1</v>
      </c>
      <c r="X286" s="90" t="s">
        <v>118</v>
      </c>
      <c r="Y286" s="91">
        <v>45748</v>
      </c>
      <c r="Z286" s="91">
        <v>45930</v>
      </c>
      <c r="AA286" s="88"/>
      <c r="AB286" s="88"/>
      <c r="AC286" s="92">
        <v>45874.488194444442</v>
      </c>
    </row>
    <row r="287" spans="1:29" customFormat="1" ht="16" x14ac:dyDescent="0.2">
      <c r="A287" s="90" t="s">
        <v>0</v>
      </c>
      <c r="B287" s="90" t="s">
        <v>961</v>
      </c>
      <c r="C287" s="90" t="s">
        <v>962</v>
      </c>
      <c r="D287" s="91">
        <v>36578</v>
      </c>
      <c r="E287" s="90">
        <v>25</v>
      </c>
      <c r="F287" s="90" t="s">
        <v>11</v>
      </c>
      <c r="G287" s="90" t="s">
        <v>10</v>
      </c>
      <c r="H287" s="90" t="s">
        <v>11</v>
      </c>
      <c r="I287" s="88"/>
      <c r="J287" s="90" t="s">
        <v>140</v>
      </c>
      <c r="K287" s="90" t="s">
        <v>141</v>
      </c>
      <c r="L287" s="90" t="s">
        <v>5</v>
      </c>
      <c r="M287" s="90" t="s">
        <v>9</v>
      </c>
      <c r="N287" s="90" t="s">
        <v>226</v>
      </c>
      <c r="O287" s="91">
        <v>45733</v>
      </c>
      <c r="P287" s="91">
        <v>45744</v>
      </c>
      <c r="Q287" s="91">
        <v>45754</v>
      </c>
      <c r="R287" s="91">
        <v>45777</v>
      </c>
      <c r="S287" s="91">
        <v>45777</v>
      </c>
      <c r="T287" s="91">
        <v>45838</v>
      </c>
      <c r="U287" s="90" t="s">
        <v>91</v>
      </c>
      <c r="V287" s="90" t="s">
        <v>224</v>
      </c>
      <c r="W287" s="90">
        <v>1</v>
      </c>
      <c r="X287" s="90" t="s">
        <v>228</v>
      </c>
      <c r="Y287" s="88"/>
      <c r="Z287" s="88"/>
      <c r="AA287" s="88"/>
      <c r="AB287" s="88"/>
      <c r="AC287" s="92">
        <v>45840.668749999997</v>
      </c>
    </row>
    <row r="288" spans="1:29" customFormat="1" ht="16" x14ac:dyDescent="0.2">
      <c r="A288" s="90" t="s">
        <v>1</v>
      </c>
      <c r="B288" s="90" t="s">
        <v>406</v>
      </c>
      <c r="C288" s="90" t="s">
        <v>440</v>
      </c>
      <c r="D288" s="91">
        <v>22973</v>
      </c>
      <c r="E288" s="90">
        <v>63</v>
      </c>
      <c r="F288" s="90" t="s">
        <v>11</v>
      </c>
      <c r="G288" s="90" t="s">
        <v>10</v>
      </c>
      <c r="H288" s="90" t="s">
        <v>10</v>
      </c>
      <c r="I288" s="91">
        <v>39965</v>
      </c>
      <c r="J288" s="90" t="s">
        <v>179</v>
      </c>
      <c r="K288" s="90" t="s">
        <v>675</v>
      </c>
      <c r="L288" s="90" t="s">
        <v>4</v>
      </c>
      <c r="M288" s="90" t="s">
        <v>6</v>
      </c>
      <c r="N288" s="88"/>
      <c r="O288" s="91">
        <v>45733</v>
      </c>
      <c r="P288" s="88"/>
      <c r="Q288" s="88"/>
      <c r="R288" s="88"/>
      <c r="S288" s="88"/>
      <c r="T288" s="88"/>
      <c r="U288" s="88"/>
      <c r="V288" s="90" t="s">
        <v>227</v>
      </c>
      <c r="W288" s="90">
        <v>0</v>
      </c>
      <c r="X288" s="88"/>
      <c r="Y288" s="88"/>
      <c r="Z288" s="88"/>
      <c r="AA288" s="88"/>
      <c r="AB288" s="88"/>
      <c r="AC288" s="92">
        <v>45737.692361111112</v>
      </c>
    </row>
    <row r="289" spans="1:29" customFormat="1" ht="16" x14ac:dyDescent="0.2">
      <c r="A289" s="90" t="s">
        <v>0</v>
      </c>
      <c r="B289" s="90" t="s">
        <v>144</v>
      </c>
      <c r="C289" s="90" t="s">
        <v>623</v>
      </c>
      <c r="D289" s="91">
        <v>23423</v>
      </c>
      <c r="E289" s="90">
        <v>61</v>
      </c>
      <c r="F289" s="88"/>
      <c r="G289" s="90" t="s">
        <v>10</v>
      </c>
      <c r="H289" s="90" t="s">
        <v>10</v>
      </c>
      <c r="I289" s="91">
        <v>42736</v>
      </c>
      <c r="J289" s="90" t="s">
        <v>401</v>
      </c>
      <c r="K289" s="90" t="s">
        <v>453</v>
      </c>
      <c r="L289" s="90" t="s">
        <v>7</v>
      </c>
      <c r="M289" s="90" t="s">
        <v>6</v>
      </c>
      <c r="N289" s="90" t="s">
        <v>225</v>
      </c>
      <c r="O289" s="91">
        <v>45733</v>
      </c>
      <c r="P289" s="91">
        <v>45733</v>
      </c>
      <c r="Q289" s="91">
        <v>45744</v>
      </c>
      <c r="R289" s="91">
        <v>45763</v>
      </c>
      <c r="S289" s="91">
        <v>45763</v>
      </c>
      <c r="T289" s="91">
        <v>45952</v>
      </c>
      <c r="U289" s="90" t="s">
        <v>319</v>
      </c>
      <c r="V289" s="90" t="s">
        <v>224</v>
      </c>
      <c r="W289" s="90">
        <v>1</v>
      </c>
      <c r="X289" s="90" t="s">
        <v>228</v>
      </c>
      <c r="Y289" s="91">
        <v>45748</v>
      </c>
      <c r="Z289" s="91">
        <v>45930</v>
      </c>
      <c r="AA289" s="88"/>
      <c r="AB289" s="88"/>
      <c r="AC289" s="92">
        <v>45952.854166666664</v>
      </c>
    </row>
    <row r="290" spans="1:29" customFormat="1" ht="16" x14ac:dyDescent="0.2">
      <c r="A290" s="90" t="s">
        <v>0</v>
      </c>
      <c r="B290" s="90" t="s">
        <v>788</v>
      </c>
      <c r="C290" s="90" t="s">
        <v>963</v>
      </c>
      <c r="D290" s="91">
        <v>27269</v>
      </c>
      <c r="E290" s="90">
        <v>51</v>
      </c>
      <c r="F290" s="90" t="s">
        <v>11</v>
      </c>
      <c r="G290" s="90" t="s">
        <v>10</v>
      </c>
      <c r="H290" s="90" t="s">
        <v>10</v>
      </c>
      <c r="I290" s="91">
        <v>44866</v>
      </c>
      <c r="J290" s="90" t="s">
        <v>881</v>
      </c>
      <c r="K290" s="90" t="s">
        <v>494</v>
      </c>
      <c r="L290" s="90" t="s">
        <v>3</v>
      </c>
      <c r="M290" s="90" t="s">
        <v>396</v>
      </c>
      <c r="N290" s="90" t="s">
        <v>117</v>
      </c>
      <c r="O290" s="91">
        <v>45730</v>
      </c>
      <c r="P290" s="91">
        <v>45734</v>
      </c>
      <c r="Q290" s="91">
        <v>45737</v>
      </c>
      <c r="R290" s="91">
        <v>45749</v>
      </c>
      <c r="S290" s="91">
        <v>45749</v>
      </c>
      <c r="T290" s="91">
        <v>45931</v>
      </c>
      <c r="U290" s="90" t="s">
        <v>216</v>
      </c>
      <c r="V290" s="90" t="s">
        <v>224</v>
      </c>
      <c r="W290" s="90">
        <v>2</v>
      </c>
      <c r="X290" s="90" t="s">
        <v>118</v>
      </c>
      <c r="Y290" s="91">
        <v>45748</v>
      </c>
      <c r="Z290" s="91">
        <v>45930</v>
      </c>
      <c r="AA290" s="88"/>
      <c r="AB290" s="88"/>
      <c r="AC290" s="92">
        <v>45931.694444444445</v>
      </c>
    </row>
    <row r="291" spans="1:29" customFormat="1" ht="16" x14ac:dyDescent="0.2">
      <c r="A291" s="90" t="s">
        <v>1</v>
      </c>
      <c r="B291" s="90" t="s">
        <v>561</v>
      </c>
      <c r="C291" s="90" t="s">
        <v>562</v>
      </c>
      <c r="D291" s="91">
        <v>27254</v>
      </c>
      <c r="E291" s="90">
        <v>51</v>
      </c>
      <c r="F291" s="90" t="s">
        <v>10</v>
      </c>
      <c r="G291" s="90" t="s">
        <v>11</v>
      </c>
      <c r="H291" s="90" t="s">
        <v>10</v>
      </c>
      <c r="I291" s="91">
        <v>42705</v>
      </c>
      <c r="J291" s="90" t="s">
        <v>565</v>
      </c>
      <c r="K291" s="90" t="s">
        <v>742</v>
      </c>
      <c r="L291" s="90" t="s">
        <v>7</v>
      </c>
      <c r="M291" s="90" t="s">
        <v>6</v>
      </c>
      <c r="N291" s="90" t="s">
        <v>120</v>
      </c>
      <c r="O291" s="91">
        <v>45729</v>
      </c>
      <c r="P291" s="91">
        <v>45789</v>
      </c>
      <c r="Q291" s="91">
        <v>45793</v>
      </c>
      <c r="R291" s="91">
        <v>45811</v>
      </c>
      <c r="S291" s="91">
        <v>45811</v>
      </c>
      <c r="T291" s="88"/>
      <c r="U291" s="88"/>
      <c r="V291" s="90" t="s">
        <v>32</v>
      </c>
      <c r="W291" s="90">
        <v>2</v>
      </c>
      <c r="X291" s="90" t="s">
        <v>228</v>
      </c>
      <c r="Y291" s="91">
        <v>45809</v>
      </c>
      <c r="Z291" s="91">
        <v>45991</v>
      </c>
      <c r="AA291" s="88"/>
      <c r="AB291" s="88"/>
      <c r="AC291" s="92">
        <v>45958.622916666667</v>
      </c>
    </row>
    <row r="292" spans="1:29" customFormat="1" ht="16" x14ac:dyDescent="0.2">
      <c r="A292" s="90" t="s">
        <v>1</v>
      </c>
      <c r="B292" s="90" t="s">
        <v>291</v>
      </c>
      <c r="C292" s="90" t="s">
        <v>964</v>
      </c>
      <c r="D292" s="91">
        <v>29151</v>
      </c>
      <c r="E292" s="90">
        <v>46</v>
      </c>
      <c r="F292" s="90" t="s">
        <v>10</v>
      </c>
      <c r="G292" s="90" t="s">
        <v>11</v>
      </c>
      <c r="H292" s="90" t="s">
        <v>11</v>
      </c>
      <c r="I292" s="88"/>
      <c r="J292" s="90" t="s">
        <v>172</v>
      </c>
      <c r="K292" s="90" t="s">
        <v>173</v>
      </c>
      <c r="L292" s="90" t="s">
        <v>4</v>
      </c>
      <c r="M292" s="90" t="s">
        <v>6</v>
      </c>
      <c r="N292" s="90" t="s">
        <v>120</v>
      </c>
      <c r="O292" s="91">
        <v>45729</v>
      </c>
      <c r="P292" s="91">
        <v>45729</v>
      </c>
      <c r="Q292" s="91">
        <v>45747</v>
      </c>
      <c r="R292" s="91">
        <v>45755</v>
      </c>
      <c r="S292" s="91">
        <v>45775</v>
      </c>
      <c r="T292" s="91">
        <v>45803</v>
      </c>
      <c r="U292" s="90" t="s">
        <v>712</v>
      </c>
      <c r="V292" s="90" t="s">
        <v>224</v>
      </c>
      <c r="W292" s="90">
        <v>3</v>
      </c>
      <c r="X292" s="90" t="s">
        <v>228</v>
      </c>
      <c r="Y292" s="88"/>
      <c r="Z292" s="88"/>
      <c r="AA292" s="88"/>
      <c r="AB292" s="88"/>
      <c r="AC292" s="92">
        <v>45822.643055555556</v>
      </c>
    </row>
    <row r="293" spans="1:29" customFormat="1" ht="16" x14ac:dyDescent="0.2">
      <c r="A293" s="90" t="s">
        <v>0</v>
      </c>
      <c r="B293" s="90" t="s">
        <v>965</v>
      </c>
      <c r="C293" s="90" t="s">
        <v>966</v>
      </c>
      <c r="D293" s="91">
        <v>23004</v>
      </c>
      <c r="E293" s="90">
        <v>63</v>
      </c>
      <c r="F293" s="88"/>
      <c r="G293" s="88"/>
      <c r="H293" s="90" t="s">
        <v>10</v>
      </c>
      <c r="I293" s="88"/>
      <c r="J293" s="90" t="s">
        <v>883</v>
      </c>
      <c r="K293" s="90" t="s">
        <v>884</v>
      </c>
      <c r="L293" s="90" t="s">
        <v>7</v>
      </c>
      <c r="M293" s="90" t="s">
        <v>885</v>
      </c>
      <c r="N293" s="90" t="s">
        <v>225</v>
      </c>
      <c r="O293" s="91">
        <v>45728</v>
      </c>
      <c r="P293" s="91">
        <v>45744</v>
      </c>
      <c r="Q293" s="91">
        <v>45744</v>
      </c>
      <c r="R293" s="91">
        <v>45755</v>
      </c>
      <c r="S293" s="91">
        <v>45755</v>
      </c>
      <c r="T293" s="91">
        <v>45930</v>
      </c>
      <c r="U293" s="90" t="s">
        <v>218</v>
      </c>
      <c r="V293" s="90" t="s">
        <v>224</v>
      </c>
      <c r="W293" s="90">
        <v>1</v>
      </c>
      <c r="X293" s="90" t="s">
        <v>125</v>
      </c>
      <c r="Y293" s="91">
        <v>45748</v>
      </c>
      <c r="Z293" s="91">
        <v>45930</v>
      </c>
      <c r="AA293" s="88"/>
      <c r="AB293" s="88"/>
      <c r="AC293" s="92">
        <v>45952.529166666667</v>
      </c>
    </row>
    <row r="294" spans="1:29" customFormat="1" ht="16" x14ac:dyDescent="0.2">
      <c r="A294" s="90" t="s">
        <v>0</v>
      </c>
      <c r="B294" s="90" t="s">
        <v>394</v>
      </c>
      <c r="C294" s="90" t="s">
        <v>967</v>
      </c>
      <c r="D294" s="91">
        <v>23804</v>
      </c>
      <c r="E294" s="90">
        <v>60</v>
      </c>
      <c r="F294" s="90" t="s">
        <v>10</v>
      </c>
      <c r="G294" s="90" t="s">
        <v>10</v>
      </c>
      <c r="H294" s="90" t="s">
        <v>10</v>
      </c>
      <c r="I294" s="88"/>
      <c r="J294" s="90" t="s">
        <v>155</v>
      </c>
      <c r="K294" s="90" t="s">
        <v>156</v>
      </c>
      <c r="L294" s="90" t="s">
        <v>3</v>
      </c>
      <c r="M294" s="90" t="s">
        <v>6</v>
      </c>
      <c r="N294" s="90" t="s">
        <v>119</v>
      </c>
      <c r="O294" s="91">
        <v>45728</v>
      </c>
      <c r="P294" s="91">
        <v>45728</v>
      </c>
      <c r="Q294" s="91">
        <v>45728</v>
      </c>
      <c r="R294" s="91">
        <v>45734</v>
      </c>
      <c r="S294" s="91">
        <v>45734</v>
      </c>
      <c r="T294" s="88"/>
      <c r="U294" s="88"/>
      <c r="V294" s="90" t="s">
        <v>32</v>
      </c>
      <c r="W294" s="90">
        <v>1</v>
      </c>
      <c r="X294" s="90" t="s">
        <v>118</v>
      </c>
      <c r="Y294" s="91">
        <v>45717</v>
      </c>
      <c r="Z294" s="91">
        <v>45900</v>
      </c>
      <c r="AA294" s="88"/>
      <c r="AB294" s="88"/>
      <c r="AC294" s="92">
        <v>45734.447222222225</v>
      </c>
    </row>
    <row r="295" spans="1:29" customFormat="1" ht="16" x14ac:dyDescent="0.2">
      <c r="A295" s="90" t="s">
        <v>1</v>
      </c>
      <c r="B295" s="90" t="s">
        <v>968</v>
      </c>
      <c r="C295" s="90" t="s">
        <v>969</v>
      </c>
      <c r="D295" s="91">
        <v>33631</v>
      </c>
      <c r="E295" s="90">
        <v>33</v>
      </c>
      <c r="F295" s="88"/>
      <c r="G295" s="88"/>
      <c r="H295" s="90" t="s">
        <v>10</v>
      </c>
      <c r="I295" s="88"/>
      <c r="J295" s="90" t="s">
        <v>883</v>
      </c>
      <c r="K295" s="90" t="s">
        <v>884</v>
      </c>
      <c r="L295" s="90" t="s">
        <v>7</v>
      </c>
      <c r="M295" s="90" t="s">
        <v>885</v>
      </c>
      <c r="N295" s="88"/>
      <c r="O295" s="91">
        <v>45726</v>
      </c>
      <c r="P295" s="91">
        <v>45791</v>
      </c>
      <c r="Q295" s="91">
        <v>45744</v>
      </c>
      <c r="R295" s="91">
        <v>45755</v>
      </c>
      <c r="S295" s="91">
        <v>45755</v>
      </c>
      <c r="T295" s="91">
        <v>45755</v>
      </c>
      <c r="U295" s="90" t="s">
        <v>92</v>
      </c>
      <c r="V295" s="90" t="s">
        <v>224</v>
      </c>
      <c r="W295" s="90">
        <v>1</v>
      </c>
      <c r="X295" s="90" t="s">
        <v>228</v>
      </c>
      <c r="Y295" s="88"/>
      <c r="Z295" s="88"/>
      <c r="AA295" s="88"/>
      <c r="AB295" s="88"/>
      <c r="AC295" s="92">
        <v>45791.649305555555</v>
      </c>
    </row>
    <row r="296" spans="1:29" customFormat="1" ht="16" x14ac:dyDescent="0.2">
      <c r="A296" s="90" t="s">
        <v>1</v>
      </c>
      <c r="B296" s="90" t="s">
        <v>382</v>
      </c>
      <c r="C296" s="90" t="s">
        <v>970</v>
      </c>
      <c r="D296" s="91">
        <v>28679</v>
      </c>
      <c r="E296" s="90">
        <v>47</v>
      </c>
      <c r="F296" s="90" t="s">
        <v>11</v>
      </c>
      <c r="G296" s="90" t="s">
        <v>10</v>
      </c>
      <c r="H296" s="90" t="s">
        <v>10</v>
      </c>
      <c r="I296" s="88"/>
      <c r="J296" s="90" t="s">
        <v>209</v>
      </c>
      <c r="K296" s="90" t="s">
        <v>210</v>
      </c>
      <c r="L296" s="90" t="s">
        <v>7</v>
      </c>
      <c r="M296" s="90" t="s">
        <v>6</v>
      </c>
      <c r="N296" s="90" t="s">
        <v>225</v>
      </c>
      <c r="O296" s="91">
        <v>45727</v>
      </c>
      <c r="P296" s="91">
        <v>45744</v>
      </c>
      <c r="Q296" s="91">
        <v>45744</v>
      </c>
      <c r="R296" s="91">
        <v>45758</v>
      </c>
      <c r="S296" s="91">
        <v>45758</v>
      </c>
      <c r="T296" s="91">
        <v>45930</v>
      </c>
      <c r="U296" s="90" t="s">
        <v>319</v>
      </c>
      <c r="V296" s="90" t="s">
        <v>224</v>
      </c>
      <c r="W296" s="90">
        <v>2</v>
      </c>
      <c r="X296" s="90" t="s">
        <v>228</v>
      </c>
      <c r="Y296" s="91">
        <v>45748</v>
      </c>
      <c r="Z296" s="91">
        <v>45930</v>
      </c>
      <c r="AA296" s="88"/>
      <c r="AB296" s="88"/>
      <c r="AC296" s="92">
        <v>45919.473611111112</v>
      </c>
    </row>
    <row r="297" spans="1:29" customFormat="1" ht="16" x14ac:dyDescent="0.2">
      <c r="A297" s="90" t="s">
        <v>0</v>
      </c>
      <c r="B297" s="90" t="s">
        <v>247</v>
      </c>
      <c r="C297" s="90" t="s">
        <v>971</v>
      </c>
      <c r="D297" s="91">
        <v>26949</v>
      </c>
      <c r="E297" s="90">
        <v>52</v>
      </c>
      <c r="F297" s="90" t="s">
        <v>11</v>
      </c>
      <c r="G297" s="90" t="s">
        <v>11</v>
      </c>
      <c r="H297" s="90" t="s">
        <v>10</v>
      </c>
      <c r="I297" s="91">
        <v>44348</v>
      </c>
      <c r="J297" s="90" t="s">
        <v>351</v>
      </c>
      <c r="K297" s="90" t="s">
        <v>111</v>
      </c>
      <c r="L297" s="90" t="s">
        <v>3</v>
      </c>
      <c r="M297" s="90" t="s">
        <v>6</v>
      </c>
      <c r="N297" s="88"/>
      <c r="O297" s="91">
        <v>45727</v>
      </c>
      <c r="P297" s="91">
        <v>45727</v>
      </c>
      <c r="Q297" s="91">
        <v>45728</v>
      </c>
      <c r="R297" s="91">
        <v>45734</v>
      </c>
      <c r="S297" s="91">
        <v>45777</v>
      </c>
      <c r="T297" s="91">
        <v>45777</v>
      </c>
      <c r="U297" s="90" t="s">
        <v>60</v>
      </c>
      <c r="V297" s="90" t="s">
        <v>224</v>
      </c>
      <c r="W297" s="90">
        <v>3</v>
      </c>
      <c r="X297" s="90" t="s">
        <v>118</v>
      </c>
      <c r="Y297" s="88"/>
      <c r="Z297" s="88"/>
      <c r="AA297" s="88"/>
      <c r="AB297" s="88"/>
      <c r="AC297" s="92">
        <v>45874.657638888886</v>
      </c>
    </row>
    <row r="298" spans="1:29" customFormat="1" ht="16" x14ac:dyDescent="0.2">
      <c r="A298" s="90" t="s">
        <v>1</v>
      </c>
      <c r="B298" s="90" t="s">
        <v>511</v>
      </c>
      <c r="C298" s="90" t="s">
        <v>333</v>
      </c>
      <c r="D298" s="91">
        <v>31060</v>
      </c>
      <c r="E298" s="90">
        <v>40</v>
      </c>
      <c r="F298" s="90" t="s">
        <v>11</v>
      </c>
      <c r="G298" s="90" t="s">
        <v>10</v>
      </c>
      <c r="H298" s="90" t="s">
        <v>10</v>
      </c>
      <c r="I298" s="91">
        <v>42767</v>
      </c>
      <c r="J298" s="90" t="s">
        <v>151</v>
      </c>
      <c r="K298" s="90" t="s">
        <v>152</v>
      </c>
      <c r="L298" s="90" t="s">
        <v>3</v>
      </c>
      <c r="M298" s="90" t="s">
        <v>6</v>
      </c>
      <c r="N298" s="88"/>
      <c r="O298" s="91">
        <v>45726</v>
      </c>
      <c r="P298" s="91">
        <v>45726</v>
      </c>
      <c r="Q298" s="91">
        <v>45743</v>
      </c>
      <c r="R298" s="91">
        <v>45743</v>
      </c>
      <c r="S298" s="91">
        <v>45756</v>
      </c>
      <c r="T298" s="91">
        <v>45756</v>
      </c>
      <c r="U298" s="90" t="s">
        <v>60</v>
      </c>
      <c r="V298" s="90" t="s">
        <v>224</v>
      </c>
      <c r="W298" s="90">
        <v>1</v>
      </c>
      <c r="X298" s="90" t="s">
        <v>228</v>
      </c>
      <c r="Y298" s="88"/>
      <c r="Z298" s="88"/>
      <c r="AA298" s="88"/>
      <c r="AB298" s="88"/>
      <c r="AC298" s="92">
        <v>45874.658333333333</v>
      </c>
    </row>
    <row r="299" spans="1:29" customFormat="1" ht="16" x14ac:dyDescent="0.2">
      <c r="A299" s="90" t="s">
        <v>1</v>
      </c>
      <c r="B299" s="90" t="s">
        <v>972</v>
      </c>
      <c r="C299" s="90" t="s">
        <v>973</v>
      </c>
      <c r="D299" s="91">
        <v>22808</v>
      </c>
      <c r="E299" s="90">
        <v>63</v>
      </c>
      <c r="F299" s="88"/>
      <c r="G299" s="88"/>
      <c r="H299" s="90" t="s">
        <v>10</v>
      </c>
      <c r="I299" s="88"/>
      <c r="J299" s="90" t="s">
        <v>883</v>
      </c>
      <c r="K299" s="90" t="s">
        <v>884</v>
      </c>
      <c r="L299" s="90" t="s">
        <v>7</v>
      </c>
      <c r="M299" s="90" t="s">
        <v>885</v>
      </c>
      <c r="N299" s="88"/>
      <c r="O299" s="91">
        <v>45726</v>
      </c>
      <c r="P299" s="91">
        <v>45744</v>
      </c>
      <c r="Q299" s="91">
        <v>45744</v>
      </c>
      <c r="R299" s="91">
        <v>45775</v>
      </c>
      <c r="S299" s="91">
        <v>45775</v>
      </c>
      <c r="T299" s="88"/>
      <c r="U299" s="88"/>
      <c r="V299" s="90" t="s">
        <v>32</v>
      </c>
      <c r="W299" s="90">
        <v>1</v>
      </c>
      <c r="X299" s="90" t="s">
        <v>228</v>
      </c>
      <c r="Y299" s="91">
        <v>45748</v>
      </c>
      <c r="Z299" s="91">
        <v>45930</v>
      </c>
      <c r="AA299" s="91">
        <v>45931</v>
      </c>
      <c r="AB299" s="91">
        <v>46112</v>
      </c>
      <c r="AC299" s="92">
        <v>45957.447916666664</v>
      </c>
    </row>
    <row r="300" spans="1:29" customFormat="1" ht="16" x14ac:dyDescent="0.2">
      <c r="A300" s="90" t="s">
        <v>0</v>
      </c>
      <c r="B300" s="90" t="s">
        <v>974</v>
      </c>
      <c r="C300" s="90" t="s">
        <v>975</v>
      </c>
      <c r="D300" s="91">
        <v>33158</v>
      </c>
      <c r="E300" s="90">
        <v>35</v>
      </c>
      <c r="F300" s="90" t="s">
        <v>11</v>
      </c>
      <c r="G300" s="88"/>
      <c r="H300" s="90" t="s">
        <v>10</v>
      </c>
      <c r="I300" s="91">
        <v>43922</v>
      </c>
      <c r="J300" s="90" t="s">
        <v>182</v>
      </c>
      <c r="K300" s="90" t="s">
        <v>183</v>
      </c>
      <c r="L300" s="90" t="s">
        <v>7</v>
      </c>
      <c r="M300" s="90" t="s">
        <v>6</v>
      </c>
      <c r="N300" s="90" t="s">
        <v>225</v>
      </c>
      <c r="O300" s="91">
        <v>45726</v>
      </c>
      <c r="P300" s="91">
        <v>45727</v>
      </c>
      <c r="Q300" s="91">
        <v>45728</v>
      </c>
      <c r="R300" s="91">
        <v>45743</v>
      </c>
      <c r="S300" s="91">
        <v>45743</v>
      </c>
      <c r="T300" s="91">
        <v>45900</v>
      </c>
      <c r="U300" s="90" t="s">
        <v>218</v>
      </c>
      <c r="V300" s="90" t="s">
        <v>224</v>
      </c>
      <c r="W300" s="90">
        <v>1</v>
      </c>
      <c r="X300" s="90" t="s">
        <v>228</v>
      </c>
      <c r="Y300" s="91">
        <v>45717</v>
      </c>
      <c r="Z300" s="91">
        <v>45900</v>
      </c>
      <c r="AA300" s="88"/>
      <c r="AB300" s="88"/>
      <c r="AC300" s="92">
        <v>45917.726388888892</v>
      </c>
    </row>
    <row r="301" spans="1:29" customFormat="1" ht="16" x14ac:dyDescent="0.2">
      <c r="A301" s="90" t="s">
        <v>0</v>
      </c>
      <c r="B301" s="90" t="s">
        <v>976</v>
      </c>
      <c r="C301" s="90" t="s">
        <v>977</v>
      </c>
      <c r="D301" s="91">
        <v>27652</v>
      </c>
      <c r="E301" s="90">
        <v>50</v>
      </c>
      <c r="F301" s="90" t="s">
        <v>11</v>
      </c>
      <c r="G301" s="90" t="s">
        <v>10</v>
      </c>
      <c r="H301" s="90" t="s">
        <v>10</v>
      </c>
      <c r="I301" s="91">
        <v>44682</v>
      </c>
      <c r="J301" s="90" t="s">
        <v>206</v>
      </c>
      <c r="K301" s="90" t="s">
        <v>207</v>
      </c>
      <c r="L301" s="90" t="s">
        <v>7</v>
      </c>
      <c r="M301" s="90" t="s">
        <v>6</v>
      </c>
      <c r="N301" s="90" t="s">
        <v>119</v>
      </c>
      <c r="O301" s="91">
        <v>45726</v>
      </c>
      <c r="P301" s="91">
        <v>45726</v>
      </c>
      <c r="Q301" s="91">
        <v>45761</v>
      </c>
      <c r="R301" s="91">
        <v>45761</v>
      </c>
      <c r="S301" s="91">
        <v>45761</v>
      </c>
      <c r="T301" s="91">
        <v>45952</v>
      </c>
      <c r="U301" s="90" t="s">
        <v>319</v>
      </c>
      <c r="V301" s="90" t="s">
        <v>224</v>
      </c>
      <c r="W301" s="90">
        <v>2</v>
      </c>
      <c r="X301" s="90" t="s">
        <v>228</v>
      </c>
      <c r="Y301" s="91">
        <v>45748</v>
      </c>
      <c r="Z301" s="91">
        <v>45930</v>
      </c>
      <c r="AA301" s="88"/>
      <c r="AB301" s="88"/>
      <c r="AC301" s="92">
        <v>45952.854861111111</v>
      </c>
    </row>
    <row r="302" spans="1:29" customFormat="1" ht="16" x14ac:dyDescent="0.2">
      <c r="A302" s="90" t="s">
        <v>1</v>
      </c>
      <c r="B302" s="90" t="s">
        <v>978</v>
      </c>
      <c r="C302" s="90" t="s">
        <v>979</v>
      </c>
      <c r="D302" s="91">
        <v>30454</v>
      </c>
      <c r="E302" s="90">
        <v>42</v>
      </c>
      <c r="F302" s="88"/>
      <c r="G302" s="88"/>
      <c r="H302" s="90" t="s">
        <v>10</v>
      </c>
      <c r="I302" s="91">
        <v>45658</v>
      </c>
      <c r="J302" s="90" t="s">
        <v>883</v>
      </c>
      <c r="K302" s="90" t="s">
        <v>884</v>
      </c>
      <c r="L302" s="90" t="s">
        <v>7</v>
      </c>
      <c r="M302" s="90" t="s">
        <v>885</v>
      </c>
      <c r="N302" s="90" t="s">
        <v>119</v>
      </c>
      <c r="O302" s="91">
        <v>45726</v>
      </c>
      <c r="P302" s="91">
        <v>45744</v>
      </c>
      <c r="Q302" s="91">
        <v>45744</v>
      </c>
      <c r="R302" s="91">
        <v>45756</v>
      </c>
      <c r="S302" s="91">
        <v>45756</v>
      </c>
      <c r="T302" s="91">
        <v>45797</v>
      </c>
      <c r="U302" s="90" t="s">
        <v>60</v>
      </c>
      <c r="V302" s="90" t="s">
        <v>224</v>
      </c>
      <c r="W302" s="90">
        <v>1</v>
      </c>
      <c r="X302" s="90" t="s">
        <v>228</v>
      </c>
      <c r="Y302" s="91">
        <v>45748</v>
      </c>
      <c r="Z302" s="91">
        <v>45930</v>
      </c>
      <c r="AA302" s="88"/>
      <c r="AB302" s="88"/>
      <c r="AC302" s="92">
        <v>45797.488194444442</v>
      </c>
    </row>
    <row r="303" spans="1:29" customFormat="1" ht="16" x14ac:dyDescent="0.2">
      <c r="A303" s="90" t="s">
        <v>0</v>
      </c>
      <c r="B303" s="90" t="s">
        <v>110</v>
      </c>
      <c r="C303" s="90" t="s">
        <v>980</v>
      </c>
      <c r="D303" s="91">
        <v>23814</v>
      </c>
      <c r="E303" s="90">
        <v>60</v>
      </c>
      <c r="F303" s="90" t="s">
        <v>11</v>
      </c>
      <c r="G303" s="90" t="s">
        <v>10</v>
      </c>
      <c r="H303" s="90" t="s">
        <v>10</v>
      </c>
      <c r="I303" s="91">
        <v>45413</v>
      </c>
      <c r="J303" s="90" t="s">
        <v>161</v>
      </c>
      <c r="K303" s="90" t="s">
        <v>208</v>
      </c>
      <c r="L303" s="90" t="s">
        <v>7</v>
      </c>
      <c r="M303" s="90" t="s">
        <v>6</v>
      </c>
      <c r="N303" s="90" t="s">
        <v>119</v>
      </c>
      <c r="O303" s="91">
        <v>45723</v>
      </c>
      <c r="P303" s="91">
        <v>45723</v>
      </c>
      <c r="Q303" s="91">
        <v>45744</v>
      </c>
      <c r="R303" s="91">
        <v>45775</v>
      </c>
      <c r="S303" s="91">
        <v>45775</v>
      </c>
      <c r="T303" s="91">
        <v>45952</v>
      </c>
      <c r="U303" s="90" t="s">
        <v>319</v>
      </c>
      <c r="V303" s="90" t="s">
        <v>224</v>
      </c>
      <c r="W303" s="90">
        <v>2</v>
      </c>
      <c r="X303" s="90" t="s">
        <v>228</v>
      </c>
      <c r="Y303" s="91">
        <v>45748</v>
      </c>
      <c r="Z303" s="91">
        <v>45930</v>
      </c>
      <c r="AA303" s="88"/>
      <c r="AB303" s="88"/>
      <c r="AC303" s="92">
        <v>45952.854861111111</v>
      </c>
    </row>
    <row r="304" spans="1:29" customFormat="1" ht="16" x14ac:dyDescent="0.2">
      <c r="A304" s="90" t="s">
        <v>1</v>
      </c>
      <c r="B304" s="90" t="s">
        <v>568</v>
      </c>
      <c r="C304" s="90" t="s">
        <v>981</v>
      </c>
      <c r="D304" s="91">
        <v>36942</v>
      </c>
      <c r="E304" s="90">
        <v>24</v>
      </c>
      <c r="F304" s="90" t="s">
        <v>11</v>
      </c>
      <c r="G304" s="90" t="s">
        <v>11</v>
      </c>
      <c r="H304" s="90" t="s">
        <v>11</v>
      </c>
      <c r="I304" s="88"/>
      <c r="J304" s="90" t="s">
        <v>539</v>
      </c>
      <c r="K304" s="90" t="s">
        <v>391</v>
      </c>
      <c r="L304" s="90" t="s">
        <v>7</v>
      </c>
      <c r="M304" s="90" t="s">
        <v>9</v>
      </c>
      <c r="N304" s="88"/>
      <c r="O304" s="91">
        <v>45722</v>
      </c>
      <c r="P304" s="91">
        <v>45744</v>
      </c>
      <c r="Q304" s="91">
        <v>45756</v>
      </c>
      <c r="R304" s="88"/>
      <c r="S304" s="91">
        <v>45756</v>
      </c>
      <c r="T304" s="91">
        <v>45756</v>
      </c>
      <c r="U304" s="90" t="s">
        <v>712</v>
      </c>
      <c r="V304" s="90" t="s">
        <v>224</v>
      </c>
      <c r="W304" s="90">
        <v>0</v>
      </c>
      <c r="X304" s="88"/>
      <c r="Y304" s="88"/>
      <c r="Z304" s="88"/>
      <c r="AA304" s="88"/>
      <c r="AB304" s="88"/>
      <c r="AC304" s="92">
        <v>45921.429166666669</v>
      </c>
    </row>
    <row r="305" spans="1:29" customFormat="1" ht="16" x14ac:dyDescent="0.2">
      <c r="A305" s="90" t="s">
        <v>0</v>
      </c>
      <c r="B305" s="90" t="s">
        <v>132</v>
      </c>
      <c r="C305" s="90" t="s">
        <v>437</v>
      </c>
      <c r="D305" s="91">
        <v>34961</v>
      </c>
      <c r="E305" s="90">
        <v>30</v>
      </c>
      <c r="F305" s="90" t="s">
        <v>11</v>
      </c>
      <c r="G305" s="90" t="s">
        <v>10</v>
      </c>
      <c r="H305" s="90" t="s">
        <v>10</v>
      </c>
      <c r="I305" s="91">
        <v>44256</v>
      </c>
      <c r="J305" s="90" t="s">
        <v>347</v>
      </c>
      <c r="K305" s="90" t="s">
        <v>348</v>
      </c>
      <c r="L305" s="90" t="s">
        <v>4</v>
      </c>
      <c r="M305" s="90" t="s">
        <v>6</v>
      </c>
      <c r="N305" s="90" t="s">
        <v>119</v>
      </c>
      <c r="O305" s="91">
        <v>45721</v>
      </c>
      <c r="P305" s="91">
        <v>45737</v>
      </c>
      <c r="Q305" s="91">
        <v>45741</v>
      </c>
      <c r="R305" s="91">
        <v>45761</v>
      </c>
      <c r="S305" s="91">
        <v>45761</v>
      </c>
      <c r="T305" s="91">
        <v>45920</v>
      </c>
      <c r="U305" s="90" t="s">
        <v>407</v>
      </c>
      <c r="V305" s="90" t="s">
        <v>224</v>
      </c>
      <c r="W305" s="90">
        <v>4</v>
      </c>
      <c r="X305" s="90" t="s">
        <v>228</v>
      </c>
      <c r="Y305" s="91">
        <v>45809</v>
      </c>
      <c r="Z305" s="91">
        <v>45991</v>
      </c>
      <c r="AA305" s="88"/>
      <c r="AB305" s="88"/>
      <c r="AC305" s="92">
        <v>45953.447916666664</v>
      </c>
    </row>
    <row r="306" spans="1:29" customFormat="1" ht="16" x14ac:dyDescent="0.2">
      <c r="A306" s="90" t="s">
        <v>1</v>
      </c>
      <c r="B306" s="90" t="s">
        <v>571</v>
      </c>
      <c r="C306" s="90" t="s">
        <v>982</v>
      </c>
      <c r="D306" s="91">
        <v>31732</v>
      </c>
      <c r="E306" s="90">
        <v>39</v>
      </c>
      <c r="F306" s="90" t="s">
        <v>11</v>
      </c>
      <c r="G306" s="90" t="s">
        <v>10</v>
      </c>
      <c r="H306" s="90" t="s">
        <v>10</v>
      </c>
      <c r="I306" s="91">
        <v>45658</v>
      </c>
      <c r="J306" s="90" t="s">
        <v>274</v>
      </c>
      <c r="K306" s="90" t="s">
        <v>503</v>
      </c>
      <c r="L306" s="90" t="s">
        <v>7</v>
      </c>
      <c r="M306" s="90" t="s">
        <v>6</v>
      </c>
      <c r="N306" s="90" t="s">
        <v>119</v>
      </c>
      <c r="O306" s="91">
        <v>45721</v>
      </c>
      <c r="P306" s="91">
        <v>45722</v>
      </c>
      <c r="Q306" s="91">
        <v>45723</v>
      </c>
      <c r="R306" s="91">
        <v>45737</v>
      </c>
      <c r="S306" s="91">
        <v>45737</v>
      </c>
      <c r="T306" s="91">
        <v>45894</v>
      </c>
      <c r="U306" s="90" t="s">
        <v>319</v>
      </c>
      <c r="V306" s="90" t="s">
        <v>224</v>
      </c>
      <c r="W306" s="90">
        <v>2</v>
      </c>
      <c r="X306" s="90" t="s">
        <v>228</v>
      </c>
      <c r="Y306" s="91">
        <v>45717</v>
      </c>
      <c r="Z306" s="91">
        <v>45900</v>
      </c>
      <c r="AA306" s="88"/>
      <c r="AB306" s="88"/>
      <c r="AC306" s="92">
        <v>45921.438194444447</v>
      </c>
    </row>
    <row r="307" spans="1:29" customFormat="1" ht="16" x14ac:dyDescent="0.2">
      <c r="A307" s="90" t="s">
        <v>0</v>
      </c>
      <c r="B307" s="90" t="s">
        <v>387</v>
      </c>
      <c r="C307" s="90" t="s">
        <v>942</v>
      </c>
      <c r="D307" s="91">
        <v>32423</v>
      </c>
      <c r="E307" s="90">
        <v>37</v>
      </c>
      <c r="F307" s="90" t="s">
        <v>11</v>
      </c>
      <c r="G307" s="90" t="s">
        <v>11</v>
      </c>
      <c r="H307" s="90" t="s">
        <v>10</v>
      </c>
      <c r="I307" s="91">
        <v>44256</v>
      </c>
      <c r="J307" s="90" t="s">
        <v>136</v>
      </c>
      <c r="K307" s="90" t="s">
        <v>137</v>
      </c>
      <c r="L307" s="90" t="s">
        <v>3</v>
      </c>
      <c r="M307" s="90" t="s">
        <v>6</v>
      </c>
      <c r="N307" s="90" t="s">
        <v>174</v>
      </c>
      <c r="O307" s="91">
        <v>45720</v>
      </c>
      <c r="P307" s="91">
        <v>45819</v>
      </c>
      <c r="Q307" s="91">
        <v>45737</v>
      </c>
      <c r="R307" s="91">
        <v>45761</v>
      </c>
      <c r="S307" s="91">
        <v>45791</v>
      </c>
      <c r="T307" s="88"/>
      <c r="U307" s="88"/>
      <c r="V307" s="90" t="s">
        <v>32</v>
      </c>
      <c r="W307" s="90">
        <v>1</v>
      </c>
      <c r="X307" s="90" t="s">
        <v>118</v>
      </c>
      <c r="Y307" s="91">
        <v>45778</v>
      </c>
      <c r="Z307" s="91">
        <v>45961</v>
      </c>
      <c r="AA307" s="88"/>
      <c r="AB307" s="88"/>
      <c r="AC307" s="92">
        <v>45819.647916666669</v>
      </c>
    </row>
    <row r="308" spans="1:29" customFormat="1" ht="16" x14ac:dyDescent="0.2">
      <c r="A308" s="90" t="s">
        <v>1</v>
      </c>
      <c r="B308" s="90" t="s">
        <v>267</v>
      </c>
      <c r="C308" s="90" t="s">
        <v>943</v>
      </c>
      <c r="D308" s="91">
        <v>28416</v>
      </c>
      <c r="E308" s="90">
        <v>48</v>
      </c>
      <c r="F308" s="88"/>
      <c r="G308" s="90" t="s">
        <v>10</v>
      </c>
      <c r="H308" s="90" t="s">
        <v>10</v>
      </c>
      <c r="I308" s="91">
        <v>39965</v>
      </c>
      <c r="J308" s="90" t="s">
        <v>583</v>
      </c>
      <c r="K308" s="90" t="s">
        <v>332</v>
      </c>
      <c r="L308" s="90" t="s">
        <v>3</v>
      </c>
      <c r="M308" s="90" t="s">
        <v>6</v>
      </c>
      <c r="N308" s="90" t="s">
        <v>117</v>
      </c>
      <c r="O308" s="91">
        <v>45720</v>
      </c>
      <c r="P308" s="91">
        <v>45726</v>
      </c>
      <c r="Q308" s="91">
        <v>45726</v>
      </c>
      <c r="R308" s="91">
        <v>45730</v>
      </c>
      <c r="S308" s="91">
        <v>45742</v>
      </c>
      <c r="T308" s="91">
        <v>45807</v>
      </c>
      <c r="U308" s="90" t="s">
        <v>215</v>
      </c>
      <c r="V308" s="90" t="s">
        <v>224</v>
      </c>
      <c r="W308" s="90">
        <v>1</v>
      </c>
      <c r="X308" s="90" t="s">
        <v>118</v>
      </c>
      <c r="Y308" s="91">
        <v>45717</v>
      </c>
      <c r="Z308" s="91">
        <v>45900</v>
      </c>
      <c r="AA308" s="88"/>
      <c r="AB308" s="88"/>
      <c r="AC308" s="92">
        <v>45874.540277777778</v>
      </c>
    </row>
    <row r="309" spans="1:29" customFormat="1" ht="16" x14ac:dyDescent="0.2">
      <c r="A309" s="90" t="s">
        <v>1</v>
      </c>
      <c r="B309" s="90" t="s">
        <v>232</v>
      </c>
      <c r="C309" s="90" t="s">
        <v>944</v>
      </c>
      <c r="D309" s="91">
        <v>29409</v>
      </c>
      <c r="E309" s="90">
        <v>45</v>
      </c>
      <c r="F309" s="88"/>
      <c r="G309" s="88"/>
      <c r="H309" s="90" t="s">
        <v>10</v>
      </c>
      <c r="I309" s="91">
        <v>43619</v>
      </c>
      <c r="J309" s="90" t="s">
        <v>883</v>
      </c>
      <c r="K309" s="90" t="s">
        <v>884</v>
      </c>
      <c r="L309" s="90" t="s">
        <v>7</v>
      </c>
      <c r="M309" s="90" t="s">
        <v>885</v>
      </c>
      <c r="N309" s="90" t="s">
        <v>124</v>
      </c>
      <c r="O309" s="91">
        <v>45720</v>
      </c>
      <c r="P309" s="91">
        <v>45722</v>
      </c>
      <c r="Q309" s="91">
        <v>45723</v>
      </c>
      <c r="R309" s="91">
        <v>45748</v>
      </c>
      <c r="S309" s="91">
        <v>45748</v>
      </c>
      <c r="T309" s="91">
        <v>45764</v>
      </c>
      <c r="U309" s="90" t="s">
        <v>92</v>
      </c>
      <c r="V309" s="90" t="s">
        <v>224</v>
      </c>
      <c r="W309" s="90">
        <v>1</v>
      </c>
      <c r="X309" s="90" t="s">
        <v>228</v>
      </c>
      <c r="Y309" s="88"/>
      <c r="Z309" s="88"/>
      <c r="AA309" s="88"/>
      <c r="AB309" s="88"/>
      <c r="AC309" s="92">
        <v>45841.348611111112</v>
      </c>
    </row>
    <row r="310" spans="1:29" customFormat="1" ht="16" x14ac:dyDescent="0.2">
      <c r="A310" s="90" t="s">
        <v>0</v>
      </c>
      <c r="B310" s="90" t="s">
        <v>945</v>
      </c>
      <c r="C310" s="90" t="s">
        <v>946</v>
      </c>
      <c r="D310" s="91">
        <v>26576</v>
      </c>
      <c r="E310" s="90">
        <v>53</v>
      </c>
      <c r="F310" s="88"/>
      <c r="G310" s="90" t="s">
        <v>10</v>
      </c>
      <c r="H310" s="90" t="s">
        <v>10</v>
      </c>
      <c r="I310" s="91">
        <v>45505</v>
      </c>
      <c r="J310" s="90" t="s">
        <v>774</v>
      </c>
      <c r="K310" s="90" t="s">
        <v>432</v>
      </c>
      <c r="L310" s="90" t="s">
        <v>7</v>
      </c>
      <c r="M310" s="90" t="s">
        <v>396</v>
      </c>
      <c r="N310" s="90" t="s">
        <v>225</v>
      </c>
      <c r="O310" s="91">
        <v>45720</v>
      </c>
      <c r="P310" s="91">
        <v>45722</v>
      </c>
      <c r="Q310" s="91">
        <v>45726</v>
      </c>
      <c r="R310" s="91">
        <v>45740</v>
      </c>
      <c r="S310" s="91">
        <v>45740</v>
      </c>
      <c r="T310" s="91">
        <v>45895</v>
      </c>
      <c r="U310" s="90" t="s">
        <v>218</v>
      </c>
      <c r="V310" s="90" t="s">
        <v>224</v>
      </c>
      <c r="W310" s="90">
        <v>1</v>
      </c>
      <c r="X310" s="90" t="s">
        <v>228</v>
      </c>
      <c r="Y310" s="91">
        <v>45717</v>
      </c>
      <c r="Z310" s="91">
        <v>45900</v>
      </c>
      <c r="AA310" s="88"/>
      <c r="AB310" s="88"/>
      <c r="AC310" s="92">
        <v>45895.652083333334</v>
      </c>
    </row>
    <row r="311" spans="1:29" customFormat="1" ht="16" x14ac:dyDescent="0.2">
      <c r="A311" s="90" t="s">
        <v>1</v>
      </c>
      <c r="B311" s="90" t="s">
        <v>290</v>
      </c>
      <c r="C311" s="90" t="s">
        <v>947</v>
      </c>
      <c r="D311" s="91">
        <v>23938</v>
      </c>
      <c r="E311" s="90">
        <v>60</v>
      </c>
      <c r="F311" s="90" t="s">
        <v>11</v>
      </c>
      <c r="G311" s="90" t="s">
        <v>10</v>
      </c>
      <c r="H311" s="90" t="s">
        <v>10</v>
      </c>
      <c r="I311" s="91">
        <v>40057</v>
      </c>
      <c r="J311" s="90" t="s">
        <v>188</v>
      </c>
      <c r="K311" s="90" t="s">
        <v>189</v>
      </c>
      <c r="L311" s="90" t="s">
        <v>5</v>
      </c>
      <c r="M311" s="90" t="s">
        <v>6</v>
      </c>
      <c r="N311" s="90" t="s">
        <v>119</v>
      </c>
      <c r="O311" s="91">
        <v>45720</v>
      </c>
      <c r="P311" s="91">
        <v>45721</v>
      </c>
      <c r="Q311" s="91">
        <v>45723</v>
      </c>
      <c r="R311" s="91">
        <v>45742</v>
      </c>
      <c r="S311" s="91">
        <v>45742</v>
      </c>
      <c r="T311" s="91">
        <v>45826</v>
      </c>
      <c r="U311" s="90" t="s">
        <v>407</v>
      </c>
      <c r="V311" s="90" t="s">
        <v>224</v>
      </c>
      <c r="W311" s="90">
        <v>1</v>
      </c>
      <c r="X311" s="90" t="s">
        <v>228</v>
      </c>
      <c r="Y311" s="91">
        <v>45717</v>
      </c>
      <c r="Z311" s="91">
        <v>45900</v>
      </c>
      <c r="AA311" s="88"/>
      <c r="AB311" s="88"/>
      <c r="AC311" s="92">
        <v>45826.676388888889</v>
      </c>
    </row>
    <row r="312" spans="1:29" customFormat="1" ht="16" x14ac:dyDescent="0.2">
      <c r="A312" s="90" t="s">
        <v>0</v>
      </c>
      <c r="B312" s="90" t="s">
        <v>504</v>
      </c>
      <c r="C312" s="90" t="s">
        <v>948</v>
      </c>
      <c r="D312" s="91">
        <v>30829</v>
      </c>
      <c r="E312" s="90">
        <v>41</v>
      </c>
      <c r="F312" s="90" t="s">
        <v>11</v>
      </c>
      <c r="G312" s="90" t="s">
        <v>10</v>
      </c>
      <c r="H312" s="90" t="s">
        <v>10</v>
      </c>
      <c r="I312" s="91">
        <v>42705</v>
      </c>
      <c r="J312" s="90" t="s">
        <v>505</v>
      </c>
      <c r="K312" s="90" t="s">
        <v>506</v>
      </c>
      <c r="L312" s="90" t="s">
        <v>7</v>
      </c>
      <c r="M312" s="90" t="s">
        <v>6</v>
      </c>
      <c r="N312" s="90" t="s">
        <v>124</v>
      </c>
      <c r="O312" s="91">
        <v>45720</v>
      </c>
      <c r="P312" s="91">
        <v>45722</v>
      </c>
      <c r="Q312" s="91">
        <v>45726</v>
      </c>
      <c r="R312" s="91">
        <v>45756</v>
      </c>
      <c r="S312" s="91">
        <v>45756</v>
      </c>
      <c r="T312" s="91">
        <v>45930</v>
      </c>
      <c r="U312" s="90" t="s">
        <v>319</v>
      </c>
      <c r="V312" s="90" t="s">
        <v>224</v>
      </c>
      <c r="W312" s="90">
        <v>1</v>
      </c>
      <c r="X312" s="90" t="s">
        <v>228</v>
      </c>
      <c r="Y312" s="91">
        <v>45748</v>
      </c>
      <c r="Z312" s="91">
        <v>45930</v>
      </c>
      <c r="AA312" s="88"/>
      <c r="AB312" s="88"/>
      <c r="AC312" s="92">
        <v>45954.654166666667</v>
      </c>
    </row>
    <row r="313" spans="1:29" customFormat="1" ht="16" x14ac:dyDescent="0.2">
      <c r="A313" s="90" t="s">
        <v>1</v>
      </c>
      <c r="B313" s="90" t="s">
        <v>184</v>
      </c>
      <c r="C313" s="90" t="s">
        <v>949</v>
      </c>
      <c r="D313" s="91">
        <v>23401</v>
      </c>
      <c r="E313" s="90">
        <v>61</v>
      </c>
      <c r="F313" s="88"/>
      <c r="G313" s="90" t="s">
        <v>11</v>
      </c>
      <c r="H313" s="90" t="s">
        <v>10</v>
      </c>
      <c r="I313" s="88"/>
      <c r="J313" s="90" t="s">
        <v>145</v>
      </c>
      <c r="K313" s="90" t="s">
        <v>146</v>
      </c>
      <c r="L313" s="90" t="s">
        <v>3</v>
      </c>
      <c r="M313" s="90" t="s">
        <v>6</v>
      </c>
      <c r="N313" s="90" t="s">
        <v>119</v>
      </c>
      <c r="O313" s="91">
        <v>45719</v>
      </c>
      <c r="P313" s="91">
        <v>45726</v>
      </c>
      <c r="Q313" s="91">
        <v>45726</v>
      </c>
      <c r="R313" s="91">
        <v>45741</v>
      </c>
      <c r="S313" s="91">
        <v>45741</v>
      </c>
      <c r="T313" s="88"/>
      <c r="U313" s="88"/>
      <c r="V313" s="90" t="s">
        <v>32</v>
      </c>
      <c r="W313" s="90">
        <v>1</v>
      </c>
      <c r="X313" s="90" t="s">
        <v>118</v>
      </c>
      <c r="Y313" s="91">
        <v>45717</v>
      </c>
      <c r="Z313" s="91">
        <v>45900</v>
      </c>
      <c r="AA313" s="88"/>
      <c r="AB313" s="88"/>
      <c r="AC313" s="92">
        <v>45741.439583333333</v>
      </c>
    </row>
    <row r="314" spans="1:29" customFormat="1" ht="16" x14ac:dyDescent="0.2">
      <c r="A314" s="90" t="s">
        <v>0</v>
      </c>
      <c r="B314" s="90" t="s">
        <v>37</v>
      </c>
      <c r="C314" s="90" t="s">
        <v>103</v>
      </c>
      <c r="D314" s="91">
        <v>26345</v>
      </c>
      <c r="E314" s="90">
        <v>53</v>
      </c>
      <c r="F314" s="90" t="s">
        <v>10</v>
      </c>
      <c r="G314" s="90" t="s">
        <v>11</v>
      </c>
      <c r="H314" s="90" t="s">
        <v>10</v>
      </c>
      <c r="I314" s="91">
        <v>42370</v>
      </c>
      <c r="J314" s="90" t="s">
        <v>35</v>
      </c>
      <c r="K314" s="90" t="s">
        <v>102</v>
      </c>
      <c r="L314" s="90" t="s">
        <v>5</v>
      </c>
      <c r="M314" s="90" t="s">
        <v>6</v>
      </c>
      <c r="N314" s="90" t="s">
        <v>119</v>
      </c>
      <c r="O314" s="91">
        <v>45719</v>
      </c>
      <c r="P314" s="91">
        <v>45720</v>
      </c>
      <c r="Q314" s="91">
        <v>45730</v>
      </c>
      <c r="R314" s="91">
        <v>45742</v>
      </c>
      <c r="S314" s="91">
        <v>45742</v>
      </c>
      <c r="T314" s="88"/>
      <c r="U314" s="90" t="s">
        <v>320</v>
      </c>
      <c r="V314" s="90" t="s">
        <v>32</v>
      </c>
      <c r="W314" s="90">
        <v>1</v>
      </c>
      <c r="X314" s="90" t="s">
        <v>228</v>
      </c>
      <c r="Y314" s="91">
        <v>45717</v>
      </c>
      <c r="Z314" s="91">
        <v>45900</v>
      </c>
      <c r="AA314" s="91">
        <v>45901</v>
      </c>
      <c r="AB314" s="91">
        <v>45991</v>
      </c>
      <c r="AC314" s="92">
        <v>45924.648611111108</v>
      </c>
    </row>
    <row r="315" spans="1:29" customFormat="1" ht="16" x14ac:dyDescent="0.2">
      <c r="A315" s="90" t="s">
        <v>0</v>
      </c>
      <c r="B315" s="90" t="s">
        <v>185</v>
      </c>
      <c r="C315" s="90" t="s">
        <v>356</v>
      </c>
      <c r="D315" s="91">
        <v>32302</v>
      </c>
      <c r="E315" s="90">
        <v>37</v>
      </c>
      <c r="F315" s="90" t="s">
        <v>10</v>
      </c>
      <c r="G315" s="90" t="s">
        <v>11</v>
      </c>
      <c r="H315" s="90" t="s">
        <v>11</v>
      </c>
      <c r="I315" s="88"/>
      <c r="J315" s="90" t="s">
        <v>950</v>
      </c>
      <c r="K315" s="90" t="s">
        <v>951</v>
      </c>
      <c r="L315" s="90" t="s">
        <v>7</v>
      </c>
      <c r="M315" s="90" t="s">
        <v>931</v>
      </c>
      <c r="N315" s="90" t="s">
        <v>119</v>
      </c>
      <c r="O315" s="91">
        <v>45718</v>
      </c>
      <c r="P315" s="91">
        <v>45790</v>
      </c>
      <c r="Q315" s="91">
        <v>45790</v>
      </c>
      <c r="R315" s="91">
        <v>45824</v>
      </c>
      <c r="S315" s="91">
        <v>45790</v>
      </c>
      <c r="T315" s="91">
        <v>45869</v>
      </c>
      <c r="U315" s="90" t="s">
        <v>1114</v>
      </c>
      <c r="V315" s="90" t="s">
        <v>224</v>
      </c>
      <c r="W315" s="90">
        <v>1</v>
      </c>
      <c r="X315" s="90" t="s">
        <v>125</v>
      </c>
      <c r="Y315" s="88"/>
      <c r="Z315" s="88"/>
      <c r="AA315" s="88"/>
      <c r="AB315" s="88"/>
      <c r="AC315" s="92">
        <v>45869.517361111109</v>
      </c>
    </row>
    <row r="316" spans="1:29" customFormat="1" ht="16" x14ac:dyDescent="0.2">
      <c r="A316" s="90" t="s">
        <v>0</v>
      </c>
      <c r="B316" s="90" t="s">
        <v>268</v>
      </c>
      <c r="C316" s="90" t="s">
        <v>925</v>
      </c>
      <c r="D316" s="91">
        <v>25832</v>
      </c>
      <c r="E316" s="90">
        <v>55</v>
      </c>
      <c r="F316" s="90" t="s">
        <v>11</v>
      </c>
      <c r="G316" s="90" t="s">
        <v>10</v>
      </c>
      <c r="H316" s="90" t="s">
        <v>10</v>
      </c>
      <c r="I316" s="91">
        <v>44440</v>
      </c>
      <c r="J316" s="90" t="s">
        <v>185</v>
      </c>
      <c r="K316" s="90" t="s">
        <v>186</v>
      </c>
      <c r="L316" s="90" t="s">
        <v>3</v>
      </c>
      <c r="M316" s="90" t="s">
        <v>6</v>
      </c>
      <c r="N316" s="90" t="s">
        <v>119</v>
      </c>
      <c r="O316" s="91">
        <v>45715</v>
      </c>
      <c r="P316" s="91">
        <v>45715</v>
      </c>
      <c r="Q316" s="91">
        <v>45726</v>
      </c>
      <c r="R316" s="91">
        <v>45747</v>
      </c>
      <c r="S316" s="91">
        <v>45747</v>
      </c>
      <c r="T316" s="91">
        <v>45874</v>
      </c>
      <c r="U316" s="90" t="s">
        <v>1114</v>
      </c>
      <c r="V316" s="90" t="s">
        <v>224</v>
      </c>
      <c r="W316" s="90">
        <v>1</v>
      </c>
      <c r="X316" s="90" t="s">
        <v>118</v>
      </c>
      <c r="Y316" s="91">
        <v>45717</v>
      </c>
      <c r="Z316" s="91">
        <v>45900</v>
      </c>
      <c r="AA316" s="88"/>
      <c r="AB316" s="88"/>
      <c r="AC316" s="92">
        <v>45874.401388888888</v>
      </c>
    </row>
    <row r="317" spans="1:29" customFormat="1" ht="16" x14ac:dyDescent="0.2">
      <c r="A317" s="90" t="s">
        <v>0</v>
      </c>
      <c r="B317" s="90" t="s">
        <v>418</v>
      </c>
      <c r="C317" s="90" t="s">
        <v>926</v>
      </c>
      <c r="D317" s="91">
        <v>29835</v>
      </c>
      <c r="E317" s="90">
        <v>44</v>
      </c>
      <c r="F317" s="90" t="s">
        <v>11</v>
      </c>
      <c r="G317" s="90" t="s">
        <v>11</v>
      </c>
      <c r="H317" s="90" t="s">
        <v>11</v>
      </c>
      <c r="I317" s="88"/>
      <c r="J317" s="90" t="s">
        <v>883</v>
      </c>
      <c r="K317" s="90" t="s">
        <v>884</v>
      </c>
      <c r="L317" s="90" t="s">
        <v>7</v>
      </c>
      <c r="M317" s="90" t="s">
        <v>885</v>
      </c>
      <c r="N317" s="88"/>
      <c r="O317" s="91">
        <v>45715</v>
      </c>
      <c r="P317" s="88"/>
      <c r="Q317" s="88"/>
      <c r="R317" s="88"/>
      <c r="S317" s="88"/>
      <c r="T317" s="88"/>
      <c r="U317" s="90" t="s">
        <v>269</v>
      </c>
      <c r="V317" s="90" t="s">
        <v>227</v>
      </c>
      <c r="W317" s="90">
        <v>0</v>
      </c>
      <c r="X317" s="88"/>
      <c r="Y317" s="88"/>
      <c r="Z317" s="88"/>
      <c r="AA317" s="88"/>
      <c r="AB317" s="88"/>
      <c r="AC317" s="92">
        <v>45719.56527777778</v>
      </c>
    </row>
    <row r="318" spans="1:29" customFormat="1" ht="16" x14ac:dyDescent="0.2">
      <c r="A318" s="90" t="s">
        <v>1</v>
      </c>
      <c r="B318" s="90" t="s">
        <v>927</v>
      </c>
      <c r="C318" s="90" t="s">
        <v>928</v>
      </c>
      <c r="D318" s="91">
        <v>26163</v>
      </c>
      <c r="E318" s="90">
        <v>54</v>
      </c>
      <c r="F318" s="90" t="s">
        <v>11</v>
      </c>
      <c r="G318" s="90" t="s">
        <v>10</v>
      </c>
      <c r="H318" s="90" t="s">
        <v>10</v>
      </c>
      <c r="I318" s="91">
        <v>45444</v>
      </c>
      <c r="J318" s="90" t="s">
        <v>197</v>
      </c>
      <c r="K318" s="90" t="s">
        <v>198</v>
      </c>
      <c r="L318" s="90" t="s">
        <v>3</v>
      </c>
      <c r="M318" s="90" t="s">
        <v>6</v>
      </c>
      <c r="N318" s="88"/>
      <c r="O318" s="91">
        <v>45714</v>
      </c>
      <c r="P318" s="91">
        <v>45727</v>
      </c>
      <c r="Q318" s="91">
        <v>45744</v>
      </c>
      <c r="R318" s="88"/>
      <c r="S318" s="91">
        <v>45744</v>
      </c>
      <c r="T318" s="91">
        <v>45744</v>
      </c>
      <c r="U318" s="90" t="s">
        <v>712</v>
      </c>
      <c r="V318" s="90" t="s">
        <v>224</v>
      </c>
      <c r="W318" s="90">
        <v>0</v>
      </c>
      <c r="X318" s="88"/>
      <c r="Y318" s="88"/>
      <c r="Z318" s="88"/>
      <c r="AA318" s="88"/>
      <c r="AB318" s="88"/>
      <c r="AC318" s="92">
        <v>45921.609722222223</v>
      </c>
    </row>
    <row r="319" spans="1:29" customFormat="1" ht="16" x14ac:dyDescent="0.2">
      <c r="A319" s="90" t="s">
        <v>0</v>
      </c>
      <c r="B319" s="90" t="s">
        <v>557</v>
      </c>
      <c r="C319" s="90" t="s">
        <v>929</v>
      </c>
      <c r="D319" s="91">
        <v>25299</v>
      </c>
      <c r="E319" s="90">
        <v>56</v>
      </c>
      <c r="F319" s="90" t="s">
        <v>11</v>
      </c>
      <c r="G319" s="90" t="s">
        <v>10</v>
      </c>
      <c r="H319" s="90" t="s">
        <v>10</v>
      </c>
      <c r="I319" s="91">
        <v>43862</v>
      </c>
      <c r="J319" s="90" t="s">
        <v>262</v>
      </c>
      <c r="K319" s="90" t="s">
        <v>438</v>
      </c>
      <c r="L319" s="90" t="s">
        <v>7</v>
      </c>
      <c r="M319" s="90" t="s">
        <v>6</v>
      </c>
      <c r="N319" s="90" t="s">
        <v>119</v>
      </c>
      <c r="O319" s="91">
        <v>45713</v>
      </c>
      <c r="P319" s="91">
        <v>45722</v>
      </c>
      <c r="Q319" s="91">
        <v>45722</v>
      </c>
      <c r="R319" s="91">
        <v>45734</v>
      </c>
      <c r="S319" s="91">
        <v>45734</v>
      </c>
      <c r="T319" s="88"/>
      <c r="U319" s="90" t="s">
        <v>320</v>
      </c>
      <c r="V319" s="90" t="s">
        <v>32</v>
      </c>
      <c r="W319" s="90">
        <v>3</v>
      </c>
      <c r="X319" s="90" t="s">
        <v>228</v>
      </c>
      <c r="Y319" s="91">
        <v>45717</v>
      </c>
      <c r="Z319" s="91">
        <v>45900</v>
      </c>
      <c r="AA319" s="91">
        <v>45901</v>
      </c>
      <c r="AB319" s="91">
        <v>45991</v>
      </c>
      <c r="AC319" s="92">
        <v>45860.523611111108</v>
      </c>
    </row>
    <row r="320" spans="1:29" customFormat="1" ht="16" x14ac:dyDescent="0.2">
      <c r="A320" s="90" t="s">
        <v>0</v>
      </c>
      <c r="B320" s="90" t="s">
        <v>136</v>
      </c>
      <c r="C320" s="90" t="s">
        <v>339</v>
      </c>
      <c r="D320" s="91">
        <v>35748</v>
      </c>
      <c r="E320" s="90">
        <v>28</v>
      </c>
      <c r="F320" s="90" t="s">
        <v>10</v>
      </c>
      <c r="G320" s="88"/>
      <c r="H320" s="90" t="s">
        <v>11</v>
      </c>
      <c r="I320" s="88"/>
      <c r="J320" s="90" t="s">
        <v>569</v>
      </c>
      <c r="K320" s="90" t="s">
        <v>930</v>
      </c>
      <c r="L320" s="90" t="s">
        <v>3</v>
      </c>
      <c r="M320" s="90" t="s">
        <v>931</v>
      </c>
      <c r="N320" s="90" t="s">
        <v>120</v>
      </c>
      <c r="O320" s="91">
        <v>45713</v>
      </c>
      <c r="P320" s="91">
        <v>45776</v>
      </c>
      <c r="Q320" s="91">
        <v>45790</v>
      </c>
      <c r="R320" s="91">
        <v>45810</v>
      </c>
      <c r="S320" s="91">
        <v>45810</v>
      </c>
      <c r="T320" s="91">
        <v>45874</v>
      </c>
      <c r="U320" s="90" t="s">
        <v>319</v>
      </c>
      <c r="V320" s="90" t="s">
        <v>224</v>
      </c>
      <c r="W320" s="90">
        <v>1</v>
      </c>
      <c r="X320" s="90" t="s">
        <v>118</v>
      </c>
      <c r="Y320" s="88"/>
      <c r="Z320" s="91">
        <v>45853</v>
      </c>
      <c r="AA320" s="88"/>
      <c r="AB320" s="88"/>
      <c r="AC320" s="92">
        <v>45874.407638888886</v>
      </c>
    </row>
    <row r="321" spans="1:29" customFormat="1" ht="16" x14ac:dyDescent="0.2">
      <c r="A321" s="90" t="s">
        <v>1</v>
      </c>
      <c r="B321" s="90" t="s">
        <v>932</v>
      </c>
      <c r="C321" s="90" t="s">
        <v>933</v>
      </c>
      <c r="D321" s="91">
        <v>33831</v>
      </c>
      <c r="E321" s="90">
        <v>33</v>
      </c>
      <c r="F321" s="90" t="s">
        <v>10</v>
      </c>
      <c r="G321" s="90" t="s">
        <v>10</v>
      </c>
      <c r="H321" s="90" t="s">
        <v>10</v>
      </c>
      <c r="I321" s="91">
        <v>45536</v>
      </c>
      <c r="J321" s="90" t="s">
        <v>110</v>
      </c>
      <c r="K321" s="90" t="s">
        <v>128</v>
      </c>
      <c r="L321" s="90" t="s">
        <v>7</v>
      </c>
      <c r="M321" s="90" t="s">
        <v>6</v>
      </c>
      <c r="N321" s="90" t="s">
        <v>119</v>
      </c>
      <c r="O321" s="91">
        <v>45712</v>
      </c>
      <c r="P321" s="91">
        <v>45722</v>
      </c>
      <c r="Q321" s="91">
        <v>45722</v>
      </c>
      <c r="R321" s="91">
        <v>45737</v>
      </c>
      <c r="S321" s="91">
        <v>45748</v>
      </c>
      <c r="T321" s="91">
        <v>45860</v>
      </c>
      <c r="U321" s="90" t="s">
        <v>319</v>
      </c>
      <c r="V321" s="90" t="s">
        <v>224</v>
      </c>
      <c r="W321" s="90">
        <v>3</v>
      </c>
      <c r="X321" s="90" t="s">
        <v>228</v>
      </c>
      <c r="Y321" s="91">
        <v>45748</v>
      </c>
      <c r="Z321" s="91">
        <v>45930</v>
      </c>
      <c r="AA321" s="88"/>
      <c r="AB321" s="88"/>
      <c r="AC321" s="92">
        <v>45882.803472222222</v>
      </c>
    </row>
    <row r="322" spans="1:29" customFormat="1" ht="16" x14ac:dyDescent="0.2">
      <c r="A322" s="90" t="s">
        <v>0</v>
      </c>
      <c r="B322" s="90" t="s">
        <v>934</v>
      </c>
      <c r="C322" s="90" t="s">
        <v>935</v>
      </c>
      <c r="D322" s="91">
        <v>28744</v>
      </c>
      <c r="E322" s="90">
        <v>47</v>
      </c>
      <c r="F322" s="90" t="s">
        <v>11</v>
      </c>
      <c r="G322" s="90" t="s">
        <v>10</v>
      </c>
      <c r="H322" s="90" t="s">
        <v>10</v>
      </c>
      <c r="I322" s="91">
        <v>45474</v>
      </c>
      <c r="J322" s="90" t="s">
        <v>881</v>
      </c>
      <c r="K322" s="90" t="s">
        <v>494</v>
      </c>
      <c r="L322" s="90" t="s">
        <v>3</v>
      </c>
      <c r="M322" s="90" t="s">
        <v>396</v>
      </c>
      <c r="N322" s="90" t="s">
        <v>119</v>
      </c>
      <c r="O322" s="91">
        <v>45712</v>
      </c>
      <c r="P322" s="91">
        <v>45713</v>
      </c>
      <c r="Q322" s="91">
        <v>45719</v>
      </c>
      <c r="R322" s="91">
        <v>45729</v>
      </c>
      <c r="S322" s="91">
        <v>45729</v>
      </c>
      <c r="T322" s="91">
        <v>45930</v>
      </c>
      <c r="U322" s="90" t="s">
        <v>319</v>
      </c>
      <c r="V322" s="90" t="s">
        <v>224</v>
      </c>
      <c r="W322" s="90">
        <v>1</v>
      </c>
      <c r="X322" s="90" t="s">
        <v>118</v>
      </c>
      <c r="Y322" s="91">
        <v>45717</v>
      </c>
      <c r="Z322" s="91">
        <v>45869</v>
      </c>
      <c r="AA322" s="91">
        <v>45870</v>
      </c>
      <c r="AB322" s="91">
        <v>45930</v>
      </c>
      <c r="AC322" s="92">
        <v>45950.40347222222</v>
      </c>
    </row>
    <row r="323" spans="1:29" customFormat="1" ht="16" x14ac:dyDescent="0.2">
      <c r="A323" s="90" t="s">
        <v>1</v>
      </c>
      <c r="B323" s="90" t="s">
        <v>500</v>
      </c>
      <c r="C323" s="90" t="s">
        <v>936</v>
      </c>
      <c r="D323" s="91">
        <v>30465</v>
      </c>
      <c r="E323" s="90">
        <v>42</v>
      </c>
      <c r="F323" s="90" t="s">
        <v>10</v>
      </c>
      <c r="G323" s="90" t="s">
        <v>10</v>
      </c>
      <c r="H323" s="90" t="s">
        <v>10</v>
      </c>
      <c r="I323" s="91">
        <v>43952</v>
      </c>
      <c r="J323" s="90" t="s">
        <v>151</v>
      </c>
      <c r="K323" s="90" t="s">
        <v>152</v>
      </c>
      <c r="L323" s="90" t="s">
        <v>3</v>
      </c>
      <c r="M323" s="90" t="s">
        <v>6</v>
      </c>
      <c r="N323" s="90" t="s">
        <v>119</v>
      </c>
      <c r="O323" s="91">
        <v>45712</v>
      </c>
      <c r="P323" s="91">
        <v>45713</v>
      </c>
      <c r="Q323" s="91">
        <v>45723</v>
      </c>
      <c r="R323" s="91">
        <v>45728</v>
      </c>
      <c r="S323" s="91">
        <v>45728</v>
      </c>
      <c r="T323" s="91">
        <v>45824</v>
      </c>
      <c r="U323" s="90" t="s">
        <v>60</v>
      </c>
      <c r="V323" s="90" t="s">
        <v>224</v>
      </c>
      <c r="W323" s="90">
        <v>1</v>
      </c>
      <c r="X323" s="90" t="s">
        <v>118</v>
      </c>
      <c r="Y323" s="91">
        <v>45717</v>
      </c>
      <c r="Z323" s="91">
        <v>45869</v>
      </c>
      <c r="AA323" s="88"/>
      <c r="AB323" s="88"/>
      <c r="AC323" s="92">
        <v>45824.646527777775</v>
      </c>
    </row>
    <row r="324" spans="1:29" customFormat="1" ht="16" x14ac:dyDescent="0.2">
      <c r="A324" s="90" t="s">
        <v>0</v>
      </c>
      <c r="B324" s="90" t="s">
        <v>937</v>
      </c>
      <c r="C324" s="90" t="s">
        <v>938</v>
      </c>
      <c r="D324" s="91">
        <v>24838</v>
      </c>
      <c r="E324" s="90">
        <v>57</v>
      </c>
      <c r="F324" s="90" t="s">
        <v>10</v>
      </c>
      <c r="G324" s="90" t="s">
        <v>11</v>
      </c>
      <c r="H324" s="90" t="s">
        <v>10</v>
      </c>
      <c r="I324" s="91">
        <v>43637</v>
      </c>
      <c r="J324" s="90" t="s">
        <v>598</v>
      </c>
      <c r="K324" s="90" t="s">
        <v>599</v>
      </c>
      <c r="L324" s="90" t="s">
        <v>7</v>
      </c>
      <c r="M324" s="90" t="s">
        <v>396</v>
      </c>
      <c r="N324" s="90" t="s">
        <v>119</v>
      </c>
      <c r="O324" s="91">
        <v>45712</v>
      </c>
      <c r="P324" s="91">
        <v>45722</v>
      </c>
      <c r="Q324" s="91">
        <v>45722</v>
      </c>
      <c r="R324" s="91">
        <v>45734</v>
      </c>
      <c r="S324" s="91">
        <v>45734</v>
      </c>
      <c r="T324" s="88"/>
      <c r="U324" s="90" t="s">
        <v>1201</v>
      </c>
      <c r="V324" s="90" t="s">
        <v>32</v>
      </c>
      <c r="W324" s="90">
        <v>2</v>
      </c>
      <c r="X324" s="90" t="s">
        <v>228</v>
      </c>
      <c r="Y324" s="91">
        <v>45717</v>
      </c>
      <c r="Z324" s="91">
        <v>45900</v>
      </c>
      <c r="AA324" s="88"/>
      <c r="AB324" s="88"/>
      <c r="AC324" s="92">
        <v>45797.38958333333</v>
      </c>
    </row>
    <row r="325" spans="1:29" customFormat="1" ht="16" x14ac:dyDescent="0.2">
      <c r="A325" s="90" t="s">
        <v>1</v>
      </c>
      <c r="B325" s="90" t="s">
        <v>191</v>
      </c>
      <c r="C325" s="90" t="s">
        <v>880</v>
      </c>
      <c r="D325" s="91">
        <v>26522</v>
      </c>
      <c r="E325" s="90">
        <v>53</v>
      </c>
      <c r="F325" s="90" t="s">
        <v>10</v>
      </c>
      <c r="G325" s="90" t="s">
        <v>10</v>
      </c>
      <c r="H325" s="90" t="s">
        <v>10</v>
      </c>
      <c r="I325" s="91">
        <v>42736</v>
      </c>
      <c r="J325" s="90" t="s">
        <v>881</v>
      </c>
      <c r="K325" s="90" t="s">
        <v>494</v>
      </c>
      <c r="L325" s="90" t="s">
        <v>3</v>
      </c>
      <c r="M325" s="90" t="s">
        <v>396</v>
      </c>
      <c r="N325" s="90" t="s">
        <v>119</v>
      </c>
      <c r="O325" s="91">
        <v>45709</v>
      </c>
      <c r="P325" s="91">
        <v>45713</v>
      </c>
      <c r="Q325" s="91">
        <v>45737</v>
      </c>
      <c r="R325" s="91">
        <v>45749</v>
      </c>
      <c r="S325" s="91">
        <v>45749</v>
      </c>
      <c r="T325" s="91">
        <v>45924</v>
      </c>
      <c r="U325" s="90" t="s">
        <v>218</v>
      </c>
      <c r="V325" s="90" t="s">
        <v>224</v>
      </c>
      <c r="W325" s="90">
        <v>1</v>
      </c>
      <c r="X325" s="90" t="s">
        <v>118</v>
      </c>
      <c r="Y325" s="91">
        <v>45748</v>
      </c>
      <c r="Z325" s="91">
        <v>45930</v>
      </c>
      <c r="AA325" s="88"/>
      <c r="AB325" s="88"/>
      <c r="AC325" s="92">
        <v>45952.827777777777</v>
      </c>
    </row>
    <row r="326" spans="1:29" customFormat="1" ht="16" x14ac:dyDescent="0.2">
      <c r="A326" s="90" t="s">
        <v>1</v>
      </c>
      <c r="B326" s="90" t="s">
        <v>294</v>
      </c>
      <c r="C326" s="90" t="s">
        <v>882</v>
      </c>
      <c r="D326" s="91">
        <v>31668</v>
      </c>
      <c r="E326" s="90">
        <v>39</v>
      </c>
      <c r="F326" s="90" t="s">
        <v>10</v>
      </c>
      <c r="G326" s="88"/>
      <c r="H326" s="90" t="s">
        <v>10</v>
      </c>
      <c r="I326" s="91">
        <v>44287</v>
      </c>
      <c r="J326" s="90" t="s">
        <v>883</v>
      </c>
      <c r="K326" s="90" t="s">
        <v>884</v>
      </c>
      <c r="L326" s="90" t="s">
        <v>7</v>
      </c>
      <c r="M326" s="90" t="s">
        <v>885</v>
      </c>
      <c r="N326" s="90" t="s">
        <v>225</v>
      </c>
      <c r="O326" s="91">
        <v>45708</v>
      </c>
      <c r="P326" s="91">
        <v>45722</v>
      </c>
      <c r="Q326" s="91">
        <v>45726</v>
      </c>
      <c r="R326" s="91">
        <v>45734</v>
      </c>
      <c r="S326" s="91">
        <v>45734</v>
      </c>
      <c r="T326" s="91">
        <v>45746</v>
      </c>
      <c r="U326" s="90" t="s">
        <v>92</v>
      </c>
      <c r="V326" s="90" t="s">
        <v>224</v>
      </c>
      <c r="W326" s="90">
        <v>1</v>
      </c>
      <c r="X326" s="90" t="s">
        <v>228</v>
      </c>
      <c r="Y326" s="88"/>
      <c r="Z326" s="88"/>
      <c r="AA326" s="88"/>
      <c r="AB326" s="88"/>
      <c r="AC326" s="92">
        <v>45842.63958333333</v>
      </c>
    </row>
    <row r="327" spans="1:29" customFormat="1" ht="16" x14ac:dyDescent="0.2">
      <c r="A327" s="90" t="s">
        <v>1</v>
      </c>
      <c r="B327" s="90" t="s">
        <v>886</v>
      </c>
      <c r="C327" s="90" t="s">
        <v>887</v>
      </c>
      <c r="D327" s="91">
        <v>28804</v>
      </c>
      <c r="E327" s="90">
        <v>47</v>
      </c>
      <c r="F327" s="90" t="s">
        <v>11</v>
      </c>
      <c r="G327" s="90" t="s">
        <v>10</v>
      </c>
      <c r="H327" s="90" t="s">
        <v>10</v>
      </c>
      <c r="I327" s="91">
        <v>45352</v>
      </c>
      <c r="J327" s="90" t="s">
        <v>565</v>
      </c>
      <c r="K327" s="90" t="s">
        <v>742</v>
      </c>
      <c r="L327" s="90" t="s">
        <v>7</v>
      </c>
      <c r="M327" s="90" t="s">
        <v>6</v>
      </c>
      <c r="N327" s="88"/>
      <c r="O327" s="91">
        <v>45708</v>
      </c>
      <c r="P327" s="91">
        <v>45744</v>
      </c>
      <c r="Q327" s="91">
        <v>45744</v>
      </c>
      <c r="R327" s="91">
        <v>45805</v>
      </c>
      <c r="S327" s="91">
        <v>45811</v>
      </c>
      <c r="T327" s="88"/>
      <c r="U327" s="90" t="s">
        <v>319</v>
      </c>
      <c r="V327" s="90" t="s">
        <v>32</v>
      </c>
      <c r="W327" s="90">
        <v>3</v>
      </c>
      <c r="X327" s="90" t="s">
        <v>228</v>
      </c>
      <c r="Y327" s="91">
        <v>45809</v>
      </c>
      <c r="Z327" s="91">
        <v>45991</v>
      </c>
      <c r="AA327" s="88"/>
      <c r="AB327" s="88"/>
      <c r="AC327" s="92">
        <v>45919.654166666667</v>
      </c>
    </row>
    <row r="328" spans="1:29" customFormat="1" ht="16" x14ac:dyDescent="0.2">
      <c r="A328" s="90" t="s">
        <v>0</v>
      </c>
      <c r="B328" s="90" t="s">
        <v>123</v>
      </c>
      <c r="C328" s="90" t="s">
        <v>649</v>
      </c>
      <c r="D328" s="91">
        <v>33030</v>
      </c>
      <c r="E328" s="90">
        <v>35</v>
      </c>
      <c r="F328" s="90" t="s">
        <v>11</v>
      </c>
      <c r="G328" s="90" t="s">
        <v>10</v>
      </c>
      <c r="H328" s="90" t="s">
        <v>10</v>
      </c>
      <c r="I328" s="91">
        <v>43221</v>
      </c>
      <c r="J328" s="90" t="s">
        <v>182</v>
      </c>
      <c r="K328" s="90" t="s">
        <v>183</v>
      </c>
      <c r="L328" s="90" t="s">
        <v>7</v>
      </c>
      <c r="M328" s="90" t="s">
        <v>6</v>
      </c>
      <c r="N328" s="90" t="s">
        <v>120</v>
      </c>
      <c r="O328" s="91">
        <v>45708</v>
      </c>
      <c r="P328" s="91">
        <v>45722</v>
      </c>
      <c r="Q328" s="91">
        <v>45722</v>
      </c>
      <c r="R328" s="91">
        <v>45723</v>
      </c>
      <c r="S328" s="91">
        <v>45734</v>
      </c>
      <c r="T328" s="91">
        <v>45910</v>
      </c>
      <c r="U328" s="90" t="s">
        <v>328</v>
      </c>
      <c r="V328" s="90" t="s">
        <v>224</v>
      </c>
      <c r="W328" s="90">
        <v>3</v>
      </c>
      <c r="X328" s="90" t="s">
        <v>228</v>
      </c>
      <c r="Y328" s="88"/>
      <c r="Z328" s="88"/>
      <c r="AA328" s="88"/>
      <c r="AB328" s="88"/>
      <c r="AC328" s="92">
        <v>45952.827777777777</v>
      </c>
    </row>
    <row r="329" spans="1:29" customFormat="1" ht="16" x14ac:dyDescent="0.2">
      <c r="A329" s="90" t="s">
        <v>1</v>
      </c>
      <c r="B329" s="90" t="s">
        <v>890</v>
      </c>
      <c r="C329" s="90" t="s">
        <v>891</v>
      </c>
      <c r="D329" s="91">
        <v>22060</v>
      </c>
      <c r="E329" s="90">
        <v>65</v>
      </c>
      <c r="F329" s="90" t="s">
        <v>11</v>
      </c>
      <c r="G329" s="88"/>
      <c r="H329" s="90" t="s">
        <v>10</v>
      </c>
      <c r="I329" s="91">
        <v>45078</v>
      </c>
      <c r="J329" s="90" t="s">
        <v>883</v>
      </c>
      <c r="K329" s="90" t="s">
        <v>884</v>
      </c>
      <c r="L329" s="90" t="s">
        <v>7</v>
      </c>
      <c r="M329" s="90" t="s">
        <v>885</v>
      </c>
      <c r="N329" s="88"/>
      <c r="O329" s="91">
        <v>45707</v>
      </c>
      <c r="P329" s="91">
        <v>45722</v>
      </c>
      <c r="Q329" s="91">
        <v>45726</v>
      </c>
      <c r="R329" s="91">
        <v>45761</v>
      </c>
      <c r="S329" s="91">
        <v>45804</v>
      </c>
      <c r="T329" s="91">
        <v>45804</v>
      </c>
      <c r="U329" s="90" t="s">
        <v>92</v>
      </c>
      <c r="V329" s="90" t="s">
        <v>224</v>
      </c>
      <c r="W329" s="90">
        <v>2</v>
      </c>
      <c r="X329" s="90" t="s">
        <v>228</v>
      </c>
      <c r="Y329" s="88"/>
      <c r="Z329" s="88"/>
      <c r="AA329" s="88"/>
      <c r="AB329" s="88"/>
      <c r="AC329" s="92">
        <v>45804.5</v>
      </c>
    </row>
    <row r="330" spans="1:29" customFormat="1" ht="16" x14ac:dyDescent="0.2">
      <c r="A330" s="90" t="s">
        <v>0</v>
      </c>
      <c r="B330" s="90" t="s">
        <v>888</v>
      </c>
      <c r="C330" s="90" t="s">
        <v>889</v>
      </c>
      <c r="D330" s="91">
        <v>32250</v>
      </c>
      <c r="E330" s="90">
        <v>37</v>
      </c>
      <c r="F330" s="90" t="s">
        <v>11</v>
      </c>
      <c r="G330" s="90" t="s">
        <v>10</v>
      </c>
      <c r="H330" s="90" t="s">
        <v>10</v>
      </c>
      <c r="I330" s="91">
        <v>45444</v>
      </c>
      <c r="J330" s="90" t="s">
        <v>380</v>
      </c>
      <c r="K330" s="90" t="s">
        <v>381</v>
      </c>
      <c r="L330" s="90" t="s">
        <v>3</v>
      </c>
      <c r="M330" s="90" t="s">
        <v>6</v>
      </c>
      <c r="N330" s="90" t="s">
        <v>226</v>
      </c>
      <c r="O330" s="91">
        <v>45707</v>
      </c>
      <c r="P330" s="91">
        <v>45707</v>
      </c>
      <c r="Q330" s="91">
        <v>45709</v>
      </c>
      <c r="R330" s="91">
        <v>45721</v>
      </c>
      <c r="S330" s="91">
        <v>45776</v>
      </c>
      <c r="T330" s="91">
        <v>45838</v>
      </c>
      <c r="U330" s="90" t="s">
        <v>60</v>
      </c>
      <c r="V330" s="90" t="s">
        <v>224</v>
      </c>
      <c r="W330" s="90">
        <v>2</v>
      </c>
      <c r="X330" s="90" t="s">
        <v>228</v>
      </c>
      <c r="Y330" s="91">
        <v>45748</v>
      </c>
      <c r="Z330" s="91">
        <v>45930</v>
      </c>
      <c r="AA330" s="88"/>
      <c r="AB330" s="88"/>
      <c r="AC330" s="92">
        <v>45846.605555555558</v>
      </c>
    </row>
    <row r="331" spans="1:29" customFormat="1" ht="16" x14ac:dyDescent="0.2">
      <c r="A331" s="90" t="s">
        <v>1</v>
      </c>
      <c r="B331" s="90" t="s">
        <v>520</v>
      </c>
      <c r="C331" s="90" t="s">
        <v>521</v>
      </c>
      <c r="D331" s="91">
        <v>26898</v>
      </c>
      <c r="E331" s="90">
        <v>52</v>
      </c>
      <c r="F331" s="90" t="s">
        <v>10</v>
      </c>
      <c r="G331" s="90" t="s">
        <v>10</v>
      </c>
      <c r="H331" s="90" t="s">
        <v>10</v>
      </c>
      <c r="I331" s="91">
        <v>44470</v>
      </c>
      <c r="J331" s="90" t="s">
        <v>165</v>
      </c>
      <c r="K331" s="90" t="s">
        <v>166</v>
      </c>
      <c r="L331" s="90" t="s">
        <v>3</v>
      </c>
      <c r="M331" s="90" t="s">
        <v>6</v>
      </c>
      <c r="N331" s="90" t="s">
        <v>119</v>
      </c>
      <c r="O331" s="91">
        <v>45706</v>
      </c>
      <c r="P331" s="91">
        <v>45712</v>
      </c>
      <c r="Q331" s="91">
        <v>45715</v>
      </c>
      <c r="R331" s="91">
        <v>45750</v>
      </c>
      <c r="S331" s="91">
        <v>45750</v>
      </c>
      <c r="T331" s="91">
        <v>45930</v>
      </c>
      <c r="U331" s="90" t="s">
        <v>319</v>
      </c>
      <c r="V331" s="90" t="s">
        <v>224</v>
      </c>
      <c r="W331" s="90">
        <v>1</v>
      </c>
      <c r="X331" s="90" t="s">
        <v>118</v>
      </c>
      <c r="Y331" s="91">
        <v>45748</v>
      </c>
      <c r="Z331" s="91">
        <v>45930</v>
      </c>
      <c r="AA331" s="88"/>
      <c r="AB331" s="88"/>
      <c r="AC331" s="92">
        <v>45921.470833333333</v>
      </c>
    </row>
    <row r="332" spans="1:29" customFormat="1" ht="16" x14ac:dyDescent="0.2">
      <c r="A332" s="90" t="s">
        <v>0</v>
      </c>
      <c r="B332" s="90" t="s">
        <v>368</v>
      </c>
      <c r="C332" s="90" t="s">
        <v>369</v>
      </c>
      <c r="D332" s="91">
        <v>25356</v>
      </c>
      <c r="E332" s="90">
        <v>56</v>
      </c>
      <c r="F332" s="90" t="s">
        <v>11</v>
      </c>
      <c r="G332" s="90" t="s">
        <v>10</v>
      </c>
      <c r="H332" s="90" t="s">
        <v>10</v>
      </c>
      <c r="I332" s="91">
        <v>44621</v>
      </c>
      <c r="J332" s="90" t="s">
        <v>35</v>
      </c>
      <c r="K332" s="90" t="s">
        <v>102</v>
      </c>
      <c r="L332" s="90" t="s">
        <v>5</v>
      </c>
      <c r="M332" s="90" t="s">
        <v>6</v>
      </c>
      <c r="N332" s="90" t="s">
        <v>120</v>
      </c>
      <c r="O332" s="91">
        <v>45706</v>
      </c>
      <c r="P332" s="91">
        <v>45740</v>
      </c>
      <c r="Q332" s="91">
        <v>45728</v>
      </c>
      <c r="R332" s="91">
        <v>45734</v>
      </c>
      <c r="S332" s="91">
        <v>45749</v>
      </c>
      <c r="T332" s="91">
        <v>45895</v>
      </c>
      <c r="U332" s="90" t="s">
        <v>320</v>
      </c>
      <c r="V332" s="90" t="s">
        <v>224</v>
      </c>
      <c r="W332" s="90">
        <v>4</v>
      </c>
      <c r="X332" s="90" t="s">
        <v>228</v>
      </c>
      <c r="Y332" s="91">
        <v>45748</v>
      </c>
      <c r="Z332" s="91">
        <v>45930</v>
      </c>
      <c r="AA332" s="88"/>
      <c r="AB332" s="88"/>
      <c r="AC332" s="92">
        <v>45917.757638888892</v>
      </c>
    </row>
    <row r="333" spans="1:29" customFormat="1" ht="16" x14ac:dyDescent="0.2">
      <c r="A333" s="90" t="s">
        <v>0</v>
      </c>
      <c r="B333" s="90" t="s">
        <v>892</v>
      </c>
      <c r="C333" s="90" t="s">
        <v>893</v>
      </c>
      <c r="D333" s="91">
        <v>30513</v>
      </c>
      <c r="E333" s="90">
        <v>42</v>
      </c>
      <c r="F333" s="90" t="s">
        <v>11</v>
      </c>
      <c r="G333" s="88"/>
      <c r="H333" s="90" t="s">
        <v>10</v>
      </c>
      <c r="I333" s="91">
        <v>45536</v>
      </c>
      <c r="J333" s="90" t="s">
        <v>35</v>
      </c>
      <c r="K333" s="90" t="s">
        <v>272</v>
      </c>
      <c r="L333" s="90" t="s">
        <v>3</v>
      </c>
      <c r="M333" s="90" t="s">
        <v>6</v>
      </c>
      <c r="N333" s="90" t="s">
        <v>119</v>
      </c>
      <c r="O333" s="91">
        <v>45705</v>
      </c>
      <c r="P333" s="91">
        <v>45953</v>
      </c>
      <c r="Q333" s="91">
        <v>45708</v>
      </c>
      <c r="R333" s="91">
        <v>45715</v>
      </c>
      <c r="S333" s="91">
        <v>45721</v>
      </c>
      <c r="T333" s="91">
        <v>45887</v>
      </c>
      <c r="U333" s="90" t="s">
        <v>407</v>
      </c>
      <c r="V333" s="90" t="s">
        <v>224</v>
      </c>
      <c r="W333" s="90">
        <v>1</v>
      </c>
      <c r="X333" s="90" t="s">
        <v>118</v>
      </c>
      <c r="Y333" s="91">
        <v>45717</v>
      </c>
      <c r="Z333" s="91">
        <v>45869</v>
      </c>
      <c r="AA333" s="88"/>
      <c r="AB333" s="88"/>
      <c r="AC333" s="92">
        <v>45953.640972222223</v>
      </c>
    </row>
    <row r="334" spans="1:29" customFormat="1" ht="16" x14ac:dyDescent="0.2">
      <c r="A334" s="90" t="s">
        <v>1</v>
      </c>
      <c r="B334" s="90" t="s">
        <v>289</v>
      </c>
      <c r="C334" s="90" t="s">
        <v>405</v>
      </c>
      <c r="D334" s="91">
        <v>25329</v>
      </c>
      <c r="E334" s="90">
        <v>56</v>
      </c>
      <c r="F334" s="90" t="s">
        <v>11</v>
      </c>
      <c r="G334" s="90" t="s">
        <v>10</v>
      </c>
      <c r="H334" s="90" t="s">
        <v>10</v>
      </c>
      <c r="I334" s="91">
        <v>45108</v>
      </c>
      <c r="J334" s="90" t="s">
        <v>148</v>
      </c>
      <c r="K334" s="90" t="s">
        <v>636</v>
      </c>
      <c r="L334" s="90" t="s">
        <v>3</v>
      </c>
      <c r="M334" s="90" t="s">
        <v>6</v>
      </c>
      <c r="N334" s="90" t="s">
        <v>119</v>
      </c>
      <c r="O334" s="91">
        <v>45702</v>
      </c>
      <c r="P334" s="91">
        <v>45702</v>
      </c>
      <c r="Q334" s="91">
        <v>45705</v>
      </c>
      <c r="R334" s="91">
        <v>45716</v>
      </c>
      <c r="S334" s="91">
        <v>45721</v>
      </c>
      <c r="T334" s="91">
        <v>45761</v>
      </c>
      <c r="U334" s="90" t="s">
        <v>60</v>
      </c>
      <c r="V334" s="90" t="s">
        <v>224</v>
      </c>
      <c r="W334" s="90">
        <v>1</v>
      </c>
      <c r="X334" s="90" t="s">
        <v>118</v>
      </c>
      <c r="Y334" s="91">
        <v>45717</v>
      </c>
      <c r="Z334" s="91">
        <v>45869</v>
      </c>
      <c r="AA334" s="88"/>
      <c r="AB334" s="88"/>
      <c r="AC334" s="92">
        <v>45921.62222222222</v>
      </c>
    </row>
    <row r="335" spans="1:29" customFormat="1" ht="16" x14ac:dyDescent="0.2">
      <c r="A335" s="90" t="s">
        <v>0</v>
      </c>
      <c r="B335" s="90" t="s">
        <v>212</v>
      </c>
      <c r="C335" s="90" t="s">
        <v>894</v>
      </c>
      <c r="D335" s="91">
        <v>27344</v>
      </c>
      <c r="E335" s="90">
        <v>51</v>
      </c>
      <c r="F335" s="90" t="s">
        <v>11</v>
      </c>
      <c r="G335" s="90" t="s">
        <v>10</v>
      </c>
      <c r="H335" s="90" t="s">
        <v>10</v>
      </c>
      <c r="I335" s="91">
        <v>43009</v>
      </c>
      <c r="J335" s="90" t="s">
        <v>774</v>
      </c>
      <c r="K335" s="90" t="s">
        <v>432</v>
      </c>
      <c r="L335" s="90" t="s">
        <v>7</v>
      </c>
      <c r="M335" s="90" t="s">
        <v>396</v>
      </c>
      <c r="N335" s="90" t="s">
        <v>225</v>
      </c>
      <c r="O335" s="91">
        <v>45702</v>
      </c>
      <c r="P335" s="91">
        <v>45722</v>
      </c>
      <c r="Q335" s="91">
        <v>45722</v>
      </c>
      <c r="R335" s="91">
        <v>45747</v>
      </c>
      <c r="S335" s="91">
        <v>45747</v>
      </c>
      <c r="T335" s="91">
        <v>45930</v>
      </c>
      <c r="U335" s="90" t="s">
        <v>218</v>
      </c>
      <c r="V335" s="90" t="s">
        <v>224</v>
      </c>
      <c r="W335" s="90">
        <v>1</v>
      </c>
      <c r="X335" s="90" t="s">
        <v>228</v>
      </c>
      <c r="Y335" s="91">
        <v>45717</v>
      </c>
      <c r="Z335" s="91">
        <v>45900</v>
      </c>
      <c r="AA335" s="88"/>
      <c r="AB335" s="88"/>
      <c r="AC335" s="92">
        <v>45938.673611111109</v>
      </c>
    </row>
    <row r="336" spans="1:29" customFormat="1" ht="16" x14ac:dyDescent="0.2">
      <c r="A336" s="90" t="s">
        <v>0</v>
      </c>
      <c r="B336" s="90" t="s">
        <v>161</v>
      </c>
      <c r="C336" s="90" t="s">
        <v>423</v>
      </c>
      <c r="D336" s="91">
        <v>30903</v>
      </c>
      <c r="E336" s="90">
        <v>41</v>
      </c>
      <c r="F336" s="90" t="s">
        <v>10</v>
      </c>
      <c r="G336" s="90" t="s">
        <v>10</v>
      </c>
      <c r="H336" s="90" t="s">
        <v>10</v>
      </c>
      <c r="I336" s="91">
        <v>45292</v>
      </c>
      <c r="J336" s="90" t="s">
        <v>598</v>
      </c>
      <c r="K336" s="90" t="s">
        <v>599</v>
      </c>
      <c r="L336" s="90" t="s">
        <v>3</v>
      </c>
      <c r="M336" s="90" t="s">
        <v>396</v>
      </c>
      <c r="N336" s="90" t="s">
        <v>119</v>
      </c>
      <c r="O336" s="91">
        <v>45701</v>
      </c>
      <c r="P336" s="91">
        <v>45701</v>
      </c>
      <c r="Q336" s="91">
        <v>45702</v>
      </c>
      <c r="R336" s="91">
        <v>45722</v>
      </c>
      <c r="S336" s="91">
        <v>45722</v>
      </c>
      <c r="T336" s="91">
        <v>45875</v>
      </c>
      <c r="U336" s="90" t="s">
        <v>319</v>
      </c>
      <c r="V336" s="90" t="s">
        <v>224</v>
      </c>
      <c r="W336" s="90">
        <v>1</v>
      </c>
      <c r="X336" s="90" t="s">
        <v>118</v>
      </c>
      <c r="Y336" s="91">
        <v>45717</v>
      </c>
      <c r="Z336" s="91">
        <v>45869</v>
      </c>
      <c r="AA336" s="88"/>
      <c r="AB336" s="88"/>
      <c r="AC336" s="92">
        <v>45921.460416666669</v>
      </c>
    </row>
    <row r="337" spans="1:29" customFormat="1" ht="16" x14ac:dyDescent="0.2">
      <c r="A337" s="90" t="s">
        <v>1</v>
      </c>
      <c r="B337" s="90" t="s">
        <v>895</v>
      </c>
      <c r="C337" s="90" t="s">
        <v>425</v>
      </c>
      <c r="D337" s="91">
        <v>31819</v>
      </c>
      <c r="E337" s="90">
        <v>38</v>
      </c>
      <c r="F337" s="90" t="s">
        <v>11</v>
      </c>
      <c r="G337" s="90" t="s">
        <v>11</v>
      </c>
      <c r="H337" s="90" t="s">
        <v>10</v>
      </c>
      <c r="I337" s="91">
        <v>43831</v>
      </c>
      <c r="J337" s="90" t="s">
        <v>446</v>
      </c>
      <c r="K337" s="90" t="s">
        <v>447</v>
      </c>
      <c r="L337" s="90" t="s">
        <v>3</v>
      </c>
      <c r="M337" s="90" t="s">
        <v>396</v>
      </c>
      <c r="N337" s="88"/>
      <c r="O337" s="91">
        <v>45701</v>
      </c>
      <c r="P337" s="91">
        <v>45712</v>
      </c>
      <c r="Q337" s="91">
        <v>45726</v>
      </c>
      <c r="R337" s="88"/>
      <c r="S337" s="91">
        <v>45726</v>
      </c>
      <c r="T337" s="91">
        <v>45726</v>
      </c>
      <c r="U337" s="90" t="s">
        <v>712</v>
      </c>
      <c r="V337" s="90" t="s">
        <v>224</v>
      </c>
      <c r="W337" s="90">
        <v>0</v>
      </c>
      <c r="X337" s="88"/>
      <c r="Y337" s="88"/>
      <c r="Z337" s="88"/>
      <c r="AA337" s="88"/>
      <c r="AB337" s="88"/>
      <c r="AC337" s="92">
        <v>45921.429861111108</v>
      </c>
    </row>
    <row r="338" spans="1:29" customFormat="1" ht="16" x14ac:dyDescent="0.2">
      <c r="A338" s="90" t="s">
        <v>1</v>
      </c>
      <c r="B338" s="90" t="s">
        <v>346</v>
      </c>
      <c r="C338" s="90" t="s">
        <v>523</v>
      </c>
      <c r="D338" s="91">
        <v>28738</v>
      </c>
      <c r="E338" s="90">
        <v>47</v>
      </c>
      <c r="F338" s="90" t="s">
        <v>11</v>
      </c>
      <c r="G338" s="88"/>
      <c r="H338" s="90" t="s">
        <v>10</v>
      </c>
      <c r="I338" s="88"/>
      <c r="J338" s="90" t="s">
        <v>280</v>
      </c>
      <c r="K338" s="90" t="s">
        <v>281</v>
      </c>
      <c r="L338" s="90" t="s">
        <v>7</v>
      </c>
      <c r="M338" s="90" t="s">
        <v>6</v>
      </c>
      <c r="N338" s="90" t="s">
        <v>226</v>
      </c>
      <c r="O338" s="91">
        <v>45700</v>
      </c>
      <c r="P338" s="91">
        <v>45722</v>
      </c>
      <c r="Q338" s="91">
        <v>45722</v>
      </c>
      <c r="R338" s="91">
        <v>45734</v>
      </c>
      <c r="S338" s="91">
        <v>45734</v>
      </c>
      <c r="T338" s="91">
        <v>45838</v>
      </c>
      <c r="U338" s="90" t="s">
        <v>1313</v>
      </c>
      <c r="V338" s="90" t="s">
        <v>224</v>
      </c>
      <c r="W338" s="90">
        <v>1</v>
      </c>
      <c r="X338" s="90" t="s">
        <v>228</v>
      </c>
      <c r="Y338" s="91">
        <v>45717</v>
      </c>
      <c r="Z338" s="91">
        <v>45900</v>
      </c>
      <c r="AA338" s="88"/>
      <c r="AB338" s="88"/>
      <c r="AC338" s="92">
        <v>45841.344444444447</v>
      </c>
    </row>
    <row r="339" spans="1:29" customFormat="1" ht="16" x14ac:dyDescent="0.2">
      <c r="A339" s="90" t="s">
        <v>0</v>
      </c>
      <c r="B339" s="90" t="s">
        <v>131</v>
      </c>
      <c r="C339" s="90" t="s">
        <v>896</v>
      </c>
      <c r="D339" s="91">
        <v>24028</v>
      </c>
      <c r="E339" s="90">
        <v>60</v>
      </c>
      <c r="F339" s="90" t="s">
        <v>10</v>
      </c>
      <c r="G339" s="90" t="s">
        <v>10</v>
      </c>
      <c r="H339" s="90" t="s">
        <v>10</v>
      </c>
      <c r="I339" s="91">
        <v>42675</v>
      </c>
      <c r="J339" s="90" t="s">
        <v>485</v>
      </c>
      <c r="K339" s="90" t="s">
        <v>211</v>
      </c>
      <c r="L339" s="90" t="s">
        <v>7</v>
      </c>
      <c r="M339" s="90" t="s">
        <v>6</v>
      </c>
      <c r="N339" s="90" t="s">
        <v>119</v>
      </c>
      <c r="O339" s="91">
        <v>45700</v>
      </c>
      <c r="P339" s="91">
        <v>45722</v>
      </c>
      <c r="Q339" s="91">
        <v>45723</v>
      </c>
      <c r="R339" s="91">
        <v>45737</v>
      </c>
      <c r="S339" s="91">
        <v>45737</v>
      </c>
      <c r="T339" s="88"/>
      <c r="U339" s="90" t="s">
        <v>320</v>
      </c>
      <c r="V339" s="90" t="s">
        <v>32</v>
      </c>
      <c r="W339" s="90">
        <v>2</v>
      </c>
      <c r="X339" s="90" t="s">
        <v>228</v>
      </c>
      <c r="Y339" s="91">
        <v>45717</v>
      </c>
      <c r="Z339" s="91">
        <v>45900</v>
      </c>
      <c r="AA339" s="91">
        <v>45901</v>
      </c>
      <c r="AB339" s="91">
        <v>45991</v>
      </c>
      <c r="AC339" s="92">
        <v>45922.535416666666</v>
      </c>
    </row>
    <row r="340" spans="1:29" customFormat="1" ht="16" x14ac:dyDescent="0.2">
      <c r="A340" s="90" t="s">
        <v>1</v>
      </c>
      <c r="B340" s="90" t="s">
        <v>897</v>
      </c>
      <c r="C340" s="90" t="s">
        <v>470</v>
      </c>
      <c r="D340" s="91">
        <v>27014</v>
      </c>
      <c r="E340" s="90">
        <v>52</v>
      </c>
      <c r="F340" s="90" t="s">
        <v>11</v>
      </c>
      <c r="G340" s="88"/>
      <c r="H340" s="90" t="s">
        <v>10</v>
      </c>
      <c r="I340" s="91">
        <v>44348</v>
      </c>
      <c r="J340" s="90" t="s">
        <v>505</v>
      </c>
      <c r="K340" s="90" t="s">
        <v>506</v>
      </c>
      <c r="L340" s="90" t="s">
        <v>7</v>
      </c>
      <c r="M340" s="90" t="s">
        <v>6</v>
      </c>
      <c r="N340" s="90" t="s">
        <v>225</v>
      </c>
      <c r="O340" s="91">
        <v>45700</v>
      </c>
      <c r="P340" s="91">
        <v>45722</v>
      </c>
      <c r="Q340" s="91">
        <v>45726</v>
      </c>
      <c r="R340" s="91">
        <v>45741</v>
      </c>
      <c r="S340" s="91">
        <v>45741</v>
      </c>
      <c r="T340" s="88"/>
      <c r="U340" s="88"/>
      <c r="V340" s="90" t="s">
        <v>32</v>
      </c>
      <c r="W340" s="90">
        <v>4</v>
      </c>
      <c r="X340" s="90" t="s">
        <v>228</v>
      </c>
      <c r="Y340" s="91">
        <v>45717</v>
      </c>
      <c r="Z340" s="91">
        <v>45900</v>
      </c>
      <c r="AA340" s="91">
        <v>45901</v>
      </c>
      <c r="AB340" s="91">
        <v>46081</v>
      </c>
      <c r="AC340" s="92">
        <v>45946.669444444444</v>
      </c>
    </row>
    <row r="341" spans="1:29" customFormat="1" ht="16" x14ac:dyDescent="0.2">
      <c r="A341" s="90" t="s">
        <v>0</v>
      </c>
      <c r="B341" s="90" t="s">
        <v>582</v>
      </c>
      <c r="C341" s="90" t="s">
        <v>901</v>
      </c>
      <c r="D341" s="91">
        <v>33449</v>
      </c>
      <c r="E341" s="90">
        <v>34</v>
      </c>
      <c r="F341" s="90" t="s">
        <v>11</v>
      </c>
      <c r="G341" s="90" t="s">
        <v>11</v>
      </c>
      <c r="H341" s="90" t="s">
        <v>10</v>
      </c>
      <c r="I341" s="91">
        <v>42037</v>
      </c>
      <c r="J341" s="90" t="s">
        <v>287</v>
      </c>
      <c r="K341" s="90" t="s">
        <v>902</v>
      </c>
      <c r="L341" s="90" t="s">
        <v>3</v>
      </c>
      <c r="M341" s="90" t="s">
        <v>6</v>
      </c>
      <c r="N341" s="90" t="s">
        <v>117</v>
      </c>
      <c r="O341" s="91">
        <v>45699</v>
      </c>
      <c r="P341" s="91">
        <v>45699</v>
      </c>
      <c r="Q341" s="91">
        <v>45707</v>
      </c>
      <c r="R341" s="91">
        <v>45733</v>
      </c>
      <c r="S341" s="91">
        <v>45741</v>
      </c>
      <c r="T341" s="88"/>
      <c r="U341" s="88"/>
      <c r="V341" s="90" t="s">
        <v>32</v>
      </c>
      <c r="W341" s="90">
        <v>2</v>
      </c>
      <c r="X341" s="90" t="s">
        <v>228</v>
      </c>
      <c r="Y341" s="91">
        <v>45717</v>
      </c>
      <c r="Z341" s="91">
        <v>45900</v>
      </c>
      <c r="AA341" s="88"/>
      <c r="AB341" s="88"/>
      <c r="AC341" s="92">
        <v>45764.656944444447</v>
      </c>
    </row>
    <row r="342" spans="1:29" customFormat="1" ht="16" x14ac:dyDescent="0.2">
      <c r="A342" s="90" t="s">
        <v>1</v>
      </c>
      <c r="B342" s="90" t="s">
        <v>899</v>
      </c>
      <c r="C342" s="90" t="s">
        <v>900</v>
      </c>
      <c r="D342" s="91">
        <v>22458</v>
      </c>
      <c r="E342" s="90">
        <v>64</v>
      </c>
      <c r="F342" s="90" t="s">
        <v>11</v>
      </c>
      <c r="G342" s="90" t="s">
        <v>11</v>
      </c>
      <c r="H342" s="90" t="s">
        <v>10</v>
      </c>
      <c r="I342" s="88"/>
      <c r="J342" s="90" t="s">
        <v>276</v>
      </c>
      <c r="K342" s="90" t="s">
        <v>169</v>
      </c>
      <c r="L342" s="90" t="s">
        <v>4</v>
      </c>
      <c r="M342" s="90" t="s">
        <v>6</v>
      </c>
      <c r="N342" s="88"/>
      <c r="O342" s="91">
        <v>45699</v>
      </c>
      <c r="P342" s="88"/>
      <c r="Q342" s="88"/>
      <c r="R342" s="88"/>
      <c r="S342" s="88"/>
      <c r="T342" s="88"/>
      <c r="U342" s="88"/>
      <c r="V342" s="90" t="s">
        <v>227</v>
      </c>
      <c r="W342" s="90">
        <v>0</v>
      </c>
      <c r="X342" s="88"/>
      <c r="Y342" s="88"/>
      <c r="Z342" s="88"/>
      <c r="AA342" s="88"/>
      <c r="AB342" s="88"/>
      <c r="AC342" s="92">
        <v>45733.445833333331</v>
      </c>
    </row>
    <row r="343" spans="1:29" customFormat="1" ht="16" x14ac:dyDescent="0.2">
      <c r="A343" s="90" t="s">
        <v>0</v>
      </c>
      <c r="B343" s="90" t="s">
        <v>497</v>
      </c>
      <c r="C343" s="90" t="s">
        <v>898</v>
      </c>
      <c r="D343" s="91">
        <v>27931</v>
      </c>
      <c r="E343" s="90">
        <v>49</v>
      </c>
      <c r="F343" s="90" t="s">
        <v>11</v>
      </c>
      <c r="G343" s="90" t="s">
        <v>11</v>
      </c>
      <c r="H343" s="90" t="s">
        <v>10</v>
      </c>
      <c r="I343" s="91">
        <v>44378</v>
      </c>
      <c r="J343" s="90" t="s">
        <v>241</v>
      </c>
      <c r="K343" s="90" t="s">
        <v>242</v>
      </c>
      <c r="L343" s="90" t="s">
        <v>5</v>
      </c>
      <c r="M343" s="90" t="s">
        <v>6</v>
      </c>
      <c r="N343" s="90" t="s">
        <v>119</v>
      </c>
      <c r="O343" s="91">
        <v>45699</v>
      </c>
      <c r="P343" s="91">
        <v>45777</v>
      </c>
      <c r="Q343" s="91">
        <v>45689</v>
      </c>
      <c r="R343" s="91">
        <v>45699</v>
      </c>
      <c r="S343" s="91">
        <v>45777</v>
      </c>
      <c r="T343" s="88"/>
      <c r="U343" s="90" t="s">
        <v>319</v>
      </c>
      <c r="V343" s="90" t="s">
        <v>32</v>
      </c>
      <c r="W343" s="90">
        <v>3</v>
      </c>
      <c r="X343" s="90" t="s">
        <v>228</v>
      </c>
      <c r="Y343" s="91">
        <v>45778</v>
      </c>
      <c r="Z343" s="91">
        <v>45961</v>
      </c>
      <c r="AA343" s="88"/>
      <c r="AB343" s="88"/>
      <c r="AC343" s="92">
        <v>45945.492361111108</v>
      </c>
    </row>
    <row r="344" spans="1:29" customFormat="1" ht="16" x14ac:dyDescent="0.2">
      <c r="A344" s="90" t="s">
        <v>0</v>
      </c>
      <c r="B344" s="90" t="s">
        <v>903</v>
      </c>
      <c r="C344" s="90" t="s">
        <v>904</v>
      </c>
      <c r="D344" s="91">
        <v>25059</v>
      </c>
      <c r="E344" s="90">
        <v>57</v>
      </c>
      <c r="F344" s="90" t="s">
        <v>11</v>
      </c>
      <c r="G344" s="90" t="s">
        <v>10</v>
      </c>
      <c r="H344" s="90" t="s">
        <v>10</v>
      </c>
      <c r="I344" s="88"/>
      <c r="J344" s="90" t="s">
        <v>273</v>
      </c>
      <c r="K344" s="90" t="s">
        <v>292</v>
      </c>
      <c r="L344" s="90" t="s">
        <v>3</v>
      </c>
      <c r="M344" s="90" t="s">
        <v>6</v>
      </c>
      <c r="N344" s="90" t="s">
        <v>119</v>
      </c>
      <c r="O344" s="91">
        <v>45698</v>
      </c>
      <c r="P344" s="91">
        <v>45699</v>
      </c>
      <c r="Q344" s="91">
        <v>45699</v>
      </c>
      <c r="R344" s="91">
        <v>45722</v>
      </c>
      <c r="S344" s="91">
        <v>45722</v>
      </c>
      <c r="T344" s="88"/>
      <c r="U344" s="88"/>
      <c r="V344" s="90" t="s">
        <v>32</v>
      </c>
      <c r="W344" s="90">
        <v>1</v>
      </c>
      <c r="X344" s="90" t="s">
        <v>118</v>
      </c>
      <c r="Y344" s="91">
        <v>45717</v>
      </c>
      <c r="Z344" s="91">
        <v>45869</v>
      </c>
      <c r="AA344" s="88"/>
      <c r="AB344" s="88"/>
      <c r="AC344" s="92">
        <v>45722.607638888891</v>
      </c>
    </row>
    <row r="345" spans="1:29" customFormat="1" ht="16" x14ac:dyDescent="0.2">
      <c r="A345" s="90" t="s">
        <v>1</v>
      </c>
      <c r="B345" s="90" t="s">
        <v>271</v>
      </c>
      <c r="C345" s="90" t="s">
        <v>905</v>
      </c>
      <c r="D345" s="91">
        <v>25338</v>
      </c>
      <c r="E345" s="90">
        <v>56</v>
      </c>
      <c r="F345" s="90" t="s">
        <v>11</v>
      </c>
      <c r="G345" s="90" t="s">
        <v>10</v>
      </c>
      <c r="H345" s="90" t="s">
        <v>10</v>
      </c>
      <c r="I345" s="91">
        <v>45209</v>
      </c>
      <c r="J345" s="90" t="s">
        <v>883</v>
      </c>
      <c r="K345" s="90" t="s">
        <v>884</v>
      </c>
      <c r="L345" s="90" t="s">
        <v>7</v>
      </c>
      <c r="M345" s="90" t="s">
        <v>885</v>
      </c>
      <c r="N345" s="88"/>
      <c r="O345" s="91">
        <v>45695</v>
      </c>
      <c r="P345" s="91">
        <v>45842</v>
      </c>
      <c r="Q345" s="91">
        <v>45715</v>
      </c>
      <c r="R345" s="91">
        <v>45747</v>
      </c>
      <c r="S345" s="91">
        <v>45775</v>
      </c>
      <c r="T345" s="91">
        <v>45775</v>
      </c>
      <c r="U345" s="90" t="s">
        <v>712</v>
      </c>
      <c r="V345" s="90" t="s">
        <v>224</v>
      </c>
      <c r="W345" s="90">
        <v>2</v>
      </c>
      <c r="X345" s="90" t="s">
        <v>228</v>
      </c>
      <c r="Y345" s="88"/>
      <c r="Z345" s="88"/>
      <c r="AA345" s="88"/>
      <c r="AB345" s="88"/>
      <c r="AC345" s="92">
        <v>45952.86041666667</v>
      </c>
    </row>
    <row r="346" spans="1:29" customFormat="1" ht="16" x14ac:dyDescent="0.2">
      <c r="A346" s="90" t="s">
        <v>0</v>
      </c>
      <c r="B346" s="90" t="s">
        <v>906</v>
      </c>
      <c r="C346" s="90" t="s">
        <v>907</v>
      </c>
      <c r="D346" s="91">
        <v>24948</v>
      </c>
      <c r="E346" s="90">
        <v>57</v>
      </c>
      <c r="F346" s="90" t="s">
        <v>10</v>
      </c>
      <c r="G346" s="90" t="s">
        <v>11</v>
      </c>
      <c r="H346" s="90" t="s">
        <v>10</v>
      </c>
      <c r="I346" s="91">
        <v>45292</v>
      </c>
      <c r="J346" s="90" t="s">
        <v>598</v>
      </c>
      <c r="K346" s="90" t="s">
        <v>599</v>
      </c>
      <c r="L346" s="90" t="s">
        <v>7</v>
      </c>
      <c r="M346" s="90" t="s">
        <v>396</v>
      </c>
      <c r="N346" s="90" t="s">
        <v>117</v>
      </c>
      <c r="O346" s="91">
        <v>45695</v>
      </c>
      <c r="P346" s="91">
        <v>45707</v>
      </c>
      <c r="Q346" s="91">
        <v>45712</v>
      </c>
      <c r="R346" s="91">
        <v>45727</v>
      </c>
      <c r="S346" s="91">
        <v>45727</v>
      </c>
      <c r="T346" s="91">
        <v>45814</v>
      </c>
      <c r="U346" s="90" t="s">
        <v>319</v>
      </c>
      <c r="V346" s="90" t="s">
        <v>224</v>
      </c>
      <c r="W346" s="90">
        <v>1</v>
      </c>
      <c r="X346" s="90" t="s">
        <v>228</v>
      </c>
      <c r="Y346" s="91">
        <v>45717</v>
      </c>
      <c r="Z346" s="91">
        <v>45900</v>
      </c>
      <c r="AA346" s="88"/>
      <c r="AB346" s="88"/>
      <c r="AC346" s="92">
        <v>45814.698611111111</v>
      </c>
    </row>
    <row r="347" spans="1:29" customFormat="1" ht="16" x14ac:dyDescent="0.2">
      <c r="A347" s="90" t="s">
        <v>0</v>
      </c>
      <c r="B347" s="90" t="s">
        <v>200</v>
      </c>
      <c r="C347" s="90" t="s">
        <v>908</v>
      </c>
      <c r="D347" s="91">
        <v>24126</v>
      </c>
      <c r="E347" s="90">
        <v>59</v>
      </c>
      <c r="F347" s="90" t="s">
        <v>11</v>
      </c>
      <c r="G347" s="90" t="s">
        <v>11</v>
      </c>
      <c r="H347" s="90" t="s">
        <v>10</v>
      </c>
      <c r="I347" s="91">
        <v>44986</v>
      </c>
      <c r="J347" s="90" t="s">
        <v>909</v>
      </c>
      <c r="K347" s="90" t="s">
        <v>436</v>
      </c>
      <c r="L347" s="90" t="s">
        <v>7</v>
      </c>
      <c r="M347" s="90" t="s">
        <v>396</v>
      </c>
      <c r="N347" s="90" t="s">
        <v>225</v>
      </c>
      <c r="O347" s="91">
        <v>45695</v>
      </c>
      <c r="P347" s="91">
        <v>45707</v>
      </c>
      <c r="Q347" s="91">
        <v>45712</v>
      </c>
      <c r="R347" s="91">
        <v>45729</v>
      </c>
      <c r="S347" s="91">
        <v>45729</v>
      </c>
      <c r="T347" s="91">
        <v>45889</v>
      </c>
      <c r="U347" s="90" t="s">
        <v>319</v>
      </c>
      <c r="V347" s="90" t="s">
        <v>224</v>
      </c>
      <c r="W347" s="90">
        <v>2</v>
      </c>
      <c r="X347" s="90" t="s">
        <v>228</v>
      </c>
      <c r="Y347" s="91">
        <v>45717</v>
      </c>
      <c r="Z347" s="91">
        <v>45900</v>
      </c>
      <c r="AA347" s="88"/>
      <c r="AB347" s="88"/>
      <c r="AC347" s="92">
        <v>45889.781944444447</v>
      </c>
    </row>
    <row r="348" spans="1:29" customFormat="1" ht="16" x14ac:dyDescent="0.2">
      <c r="A348" s="90" t="s">
        <v>0</v>
      </c>
      <c r="B348" s="90" t="s">
        <v>910</v>
      </c>
      <c r="C348" s="90" t="s">
        <v>911</v>
      </c>
      <c r="D348" s="91">
        <v>24022</v>
      </c>
      <c r="E348" s="90">
        <v>60</v>
      </c>
      <c r="F348" s="90" t="s">
        <v>11</v>
      </c>
      <c r="G348" s="90" t="s">
        <v>10</v>
      </c>
      <c r="H348" s="90" t="s">
        <v>10</v>
      </c>
      <c r="I348" s="91">
        <v>43466</v>
      </c>
      <c r="J348" s="90" t="s">
        <v>909</v>
      </c>
      <c r="K348" s="90" t="s">
        <v>436</v>
      </c>
      <c r="L348" s="90" t="s">
        <v>7</v>
      </c>
      <c r="M348" s="90" t="s">
        <v>396</v>
      </c>
      <c r="N348" s="90" t="s">
        <v>225</v>
      </c>
      <c r="O348" s="91">
        <v>45695</v>
      </c>
      <c r="P348" s="91">
        <v>45707</v>
      </c>
      <c r="Q348" s="91">
        <v>45708</v>
      </c>
      <c r="R348" s="91">
        <v>45741</v>
      </c>
      <c r="S348" s="91">
        <v>45741</v>
      </c>
      <c r="T348" s="88"/>
      <c r="U348" s="88"/>
      <c r="V348" s="90" t="s">
        <v>32</v>
      </c>
      <c r="W348" s="90">
        <v>2</v>
      </c>
      <c r="X348" s="90" t="s">
        <v>228</v>
      </c>
      <c r="Y348" s="91">
        <v>45717</v>
      </c>
      <c r="Z348" s="91">
        <v>45900</v>
      </c>
      <c r="AA348" s="91">
        <v>45901</v>
      </c>
      <c r="AB348" s="91">
        <v>46081</v>
      </c>
      <c r="AC348" s="92">
        <v>45952.44027777778</v>
      </c>
    </row>
    <row r="349" spans="1:29" customFormat="1" ht="16" x14ac:dyDescent="0.2">
      <c r="A349" s="90" t="s">
        <v>0</v>
      </c>
      <c r="B349" s="90" t="s">
        <v>578</v>
      </c>
      <c r="C349" s="90" t="s">
        <v>579</v>
      </c>
      <c r="D349" s="91">
        <v>31103</v>
      </c>
      <c r="E349" s="90">
        <v>40</v>
      </c>
      <c r="F349" s="90" t="s">
        <v>11</v>
      </c>
      <c r="G349" s="90" t="s">
        <v>10</v>
      </c>
      <c r="H349" s="90" t="s">
        <v>10</v>
      </c>
      <c r="I349" s="91">
        <v>39965</v>
      </c>
      <c r="J349" s="90" t="s">
        <v>110</v>
      </c>
      <c r="K349" s="90" t="s">
        <v>128</v>
      </c>
      <c r="L349" s="90" t="s">
        <v>7</v>
      </c>
      <c r="M349" s="90" t="s">
        <v>6</v>
      </c>
      <c r="N349" s="90" t="s">
        <v>225</v>
      </c>
      <c r="O349" s="91">
        <v>45694</v>
      </c>
      <c r="P349" s="91">
        <v>45707</v>
      </c>
      <c r="Q349" s="91">
        <v>45708</v>
      </c>
      <c r="R349" s="91">
        <v>45715</v>
      </c>
      <c r="S349" s="91">
        <v>45720</v>
      </c>
      <c r="T349" s="91">
        <v>45900</v>
      </c>
      <c r="U349" s="90" t="s">
        <v>320</v>
      </c>
      <c r="V349" s="90" t="s">
        <v>224</v>
      </c>
      <c r="W349" s="90">
        <v>1</v>
      </c>
      <c r="X349" s="90" t="s">
        <v>228</v>
      </c>
      <c r="Y349" s="91">
        <v>45717</v>
      </c>
      <c r="Z349" s="91">
        <v>45900</v>
      </c>
      <c r="AA349" s="88"/>
      <c r="AB349" s="88"/>
      <c r="AC349" s="92">
        <v>45911.517361111109</v>
      </c>
    </row>
    <row r="350" spans="1:29" customFormat="1" ht="16" x14ac:dyDescent="0.2">
      <c r="A350" s="90" t="s">
        <v>0</v>
      </c>
      <c r="B350" s="90" t="s">
        <v>912</v>
      </c>
      <c r="C350" s="90" t="s">
        <v>913</v>
      </c>
      <c r="D350" s="91">
        <v>24999</v>
      </c>
      <c r="E350" s="90">
        <v>57</v>
      </c>
      <c r="F350" s="90" t="s">
        <v>10</v>
      </c>
      <c r="G350" s="90" t="s">
        <v>10</v>
      </c>
      <c r="H350" s="90" t="s">
        <v>10</v>
      </c>
      <c r="I350" s="91">
        <v>45627</v>
      </c>
      <c r="J350" s="90" t="s">
        <v>148</v>
      </c>
      <c r="K350" s="90" t="s">
        <v>149</v>
      </c>
      <c r="L350" s="90" t="s">
        <v>3</v>
      </c>
      <c r="M350" s="90" t="s">
        <v>6</v>
      </c>
      <c r="N350" s="90" t="s">
        <v>124</v>
      </c>
      <c r="O350" s="91">
        <v>45694</v>
      </c>
      <c r="P350" s="91">
        <v>45695</v>
      </c>
      <c r="Q350" s="91">
        <v>45698</v>
      </c>
      <c r="R350" s="91">
        <v>45707</v>
      </c>
      <c r="S350" s="91">
        <v>45707</v>
      </c>
      <c r="T350" s="91">
        <v>45790</v>
      </c>
      <c r="U350" s="90" t="s">
        <v>218</v>
      </c>
      <c r="V350" s="90" t="s">
        <v>224</v>
      </c>
      <c r="W350" s="90">
        <v>1</v>
      </c>
      <c r="X350" s="90" t="s">
        <v>118</v>
      </c>
      <c r="Y350" s="91">
        <v>45689</v>
      </c>
      <c r="Z350" s="91">
        <v>45838</v>
      </c>
      <c r="AA350" s="88"/>
      <c r="AB350" s="88"/>
      <c r="AC350" s="92">
        <v>45790.388194444444</v>
      </c>
    </row>
    <row r="351" spans="1:29" customFormat="1" ht="16" x14ac:dyDescent="0.2">
      <c r="A351" s="90" t="s">
        <v>1</v>
      </c>
      <c r="B351" s="90" t="s">
        <v>914</v>
      </c>
      <c r="C351" s="90" t="s">
        <v>915</v>
      </c>
      <c r="D351" s="91">
        <v>23940</v>
      </c>
      <c r="E351" s="90">
        <v>60</v>
      </c>
      <c r="F351" s="90" t="s">
        <v>11</v>
      </c>
      <c r="G351" s="90" t="s">
        <v>10</v>
      </c>
      <c r="H351" s="90" t="s">
        <v>10</v>
      </c>
      <c r="I351" s="91">
        <v>39965</v>
      </c>
      <c r="J351" s="90" t="s">
        <v>734</v>
      </c>
      <c r="K351" s="90" t="s">
        <v>735</v>
      </c>
      <c r="L351" s="90" t="s">
        <v>4</v>
      </c>
      <c r="M351" s="90" t="s">
        <v>6</v>
      </c>
      <c r="N351" s="90" t="s">
        <v>121</v>
      </c>
      <c r="O351" s="91">
        <v>45693</v>
      </c>
      <c r="P351" s="91">
        <v>45729</v>
      </c>
      <c r="Q351" s="91">
        <v>45729</v>
      </c>
      <c r="R351" s="91">
        <v>45734</v>
      </c>
      <c r="S351" s="91">
        <v>45734</v>
      </c>
      <c r="T351" s="91">
        <v>45734</v>
      </c>
      <c r="U351" s="90" t="s">
        <v>92</v>
      </c>
      <c r="V351" s="90" t="s">
        <v>224</v>
      </c>
      <c r="W351" s="90">
        <v>1</v>
      </c>
      <c r="X351" s="90" t="s">
        <v>228</v>
      </c>
      <c r="Y351" s="88"/>
      <c r="Z351" s="88"/>
      <c r="AA351" s="88"/>
      <c r="AB351" s="88"/>
      <c r="AC351" s="92">
        <v>45734.498611111114</v>
      </c>
    </row>
    <row r="352" spans="1:29" customFormat="1" ht="16" x14ac:dyDescent="0.2">
      <c r="A352" s="90" t="s">
        <v>1</v>
      </c>
      <c r="B352" s="90" t="s">
        <v>199</v>
      </c>
      <c r="C352" s="90" t="s">
        <v>919</v>
      </c>
      <c r="D352" s="91">
        <v>29198</v>
      </c>
      <c r="E352" s="90">
        <v>46</v>
      </c>
      <c r="F352" s="90" t="s">
        <v>11</v>
      </c>
      <c r="G352" s="90" t="s">
        <v>10</v>
      </c>
      <c r="H352" s="90" t="s">
        <v>10</v>
      </c>
      <c r="I352" s="91">
        <v>43983</v>
      </c>
      <c r="J352" s="90" t="s">
        <v>734</v>
      </c>
      <c r="K352" s="90" t="s">
        <v>735</v>
      </c>
      <c r="L352" s="90" t="s">
        <v>4</v>
      </c>
      <c r="M352" s="90" t="s">
        <v>6</v>
      </c>
      <c r="N352" s="88"/>
      <c r="O352" s="91">
        <v>45693</v>
      </c>
      <c r="P352" s="88"/>
      <c r="Q352" s="88"/>
      <c r="R352" s="88"/>
      <c r="S352" s="88"/>
      <c r="T352" s="88"/>
      <c r="U352" s="88"/>
      <c r="V352" s="90" t="s">
        <v>227</v>
      </c>
      <c r="W352" s="90">
        <v>0</v>
      </c>
      <c r="X352" s="88"/>
      <c r="Y352" s="88"/>
      <c r="Z352" s="88"/>
      <c r="AA352" s="88"/>
      <c r="AB352" s="88"/>
      <c r="AC352" s="92">
        <v>45700.399305555555</v>
      </c>
    </row>
    <row r="353" spans="1:29" customFormat="1" ht="16" x14ac:dyDescent="0.2">
      <c r="A353" s="90" t="s">
        <v>1</v>
      </c>
      <c r="B353" s="90" t="s">
        <v>917</v>
      </c>
      <c r="C353" s="90" t="s">
        <v>918</v>
      </c>
      <c r="D353" s="91">
        <v>29797</v>
      </c>
      <c r="E353" s="90">
        <v>44</v>
      </c>
      <c r="F353" s="90" t="s">
        <v>11</v>
      </c>
      <c r="G353" s="90" t="s">
        <v>10</v>
      </c>
      <c r="H353" s="90" t="s">
        <v>11</v>
      </c>
      <c r="I353" s="88"/>
      <c r="J353" s="90" t="s">
        <v>229</v>
      </c>
      <c r="K353" s="90" t="s">
        <v>230</v>
      </c>
      <c r="L353" s="90" t="s">
        <v>7</v>
      </c>
      <c r="M353" s="90" t="s">
        <v>6</v>
      </c>
      <c r="N353" s="88"/>
      <c r="O353" s="91">
        <v>45693</v>
      </c>
      <c r="P353" s="88"/>
      <c r="Q353" s="88"/>
      <c r="R353" s="88"/>
      <c r="S353" s="88"/>
      <c r="T353" s="88"/>
      <c r="U353" s="88"/>
      <c r="V353" s="90" t="s">
        <v>227</v>
      </c>
      <c r="W353" s="90">
        <v>0</v>
      </c>
      <c r="X353" s="88"/>
      <c r="Y353" s="88"/>
      <c r="Z353" s="88"/>
      <c r="AA353" s="88"/>
      <c r="AB353" s="88"/>
      <c r="AC353" s="92">
        <v>45722.352777777778</v>
      </c>
    </row>
    <row r="354" spans="1:29" customFormat="1" ht="16" x14ac:dyDescent="0.2">
      <c r="A354" s="90" t="s">
        <v>1</v>
      </c>
      <c r="B354" s="90" t="s">
        <v>358</v>
      </c>
      <c r="C354" s="90" t="s">
        <v>916</v>
      </c>
      <c r="D354" s="91">
        <v>26860</v>
      </c>
      <c r="E354" s="90">
        <v>52</v>
      </c>
      <c r="F354" s="90" t="s">
        <v>11</v>
      </c>
      <c r="G354" s="90" t="s">
        <v>10</v>
      </c>
      <c r="H354" s="90" t="s">
        <v>10</v>
      </c>
      <c r="I354" s="91">
        <v>45292</v>
      </c>
      <c r="J354" s="90" t="s">
        <v>881</v>
      </c>
      <c r="K354" s="90" t="s">
        <v>494</v>
      </c>
      <c r="L354" s="90" t="s">
        <v>3</v>
      </c>
      <c r="M354" s="90" t="s">
        <v>396</v>
      </c>
      <c r="N354" s="90" t="s">
        <v>117</v>
      </c>
      <c r="O354" s="91">
        <v>45693</v>
      </c>
      <c r="P354" s="91">
        <v>45695</v>
      </c>
      <c r="Q354" s="91">
        <v>45700</v>
      </c>
      <c r="R354" s="91">
        <v>45702</v>
      </c>
      <c r="S354" s="91">
        <v>45776</v>
      </c>
      <c r="T354" s="88"/>
      <c r="U354" s="90" t="s">
        <v>320</v>
      </c>
      <c r="V354" s="90" t="s">
        <v>32</v>
      </c>
      <c r="W354" s="90">
        <v>1</v>
      </c>
      <c r="X354" s="90" t="s">
        <v>118</v>
      </c>
      <c r="Y354" s="91">
        <v>45748</v>
      </c>
      <c r="Z354" s="91">
        <v>45930</v>
      </c>
      <c r="AA354" s="88"/>
      <c r="AB354" s="88"/>
      <c r="AC354" s="92">
        <v>45908.504861111112</v>
      </c>
    </row>
    <row r="355" spans="1:29" customFormat="1" ht="16" x14ac:dyDescent="0.2">
      <c r="A355" s="90" t="s">
        <v>1</v>
      </c>
      <c r="B355" s="90" t="s">
        <v>527</v>
      </c>
      <c r="C355" s="90" t="s">
        <v>872</v>
      </c>
      <c r="D355" s="91">
        <v>29351</v>
      </c>
      <c r="E355" s="90">
        <v>45</v>
      </c>
      <c r="F355" s="90" t="s">
        <v>11</v>
      </c>
      <c r="G355" s="90" t="s">
        <v>11</v>
      </c>
      <c r="H355" s="90" t="s">
        <v>10</v>
      </c>
      <c r="I355" s="91">
        <v>44593</v>
      </c>
      <c r="J355" s="90" t="s">
        <v>420</v>
      </c>
      <c r="K355" s="90" t="s">
        <v>421</v>
      </c>
      <c r="L355" s="90" t="s">
        <v>7</v>
      </c>
      <c r="M355" s="90" t="s">
        <v>6</v>
      </c>
      <c r="N355" s="90" t="s">
        <v>225</v>
      </c>
      <c r="O355" s="91">
        <v>45692</v>
      </c>
      <c r="P355" s="91">
        <v>45707</v>
      </c>
      <c r="Q355" s="91">
        <v>45708</v>
      </c>
      <c r="R355" s="91">
        <v>45715</v>
      </c>
      <c r="S355" s="88"/>
      <c r="T355" s="88"/>
      <c r="U355" s="88"/>
      <c r="V355" s="90" t="s">
        <v>32</v>
      </c>
      <c r="W355" s="90">
        <v>1</v>
      </c>
      <c r="X355" s="90" t="s">
        <v>228</v>
      </c>
      <c r="Y355" s="91">
        <v>45689</v>
      </c>
      <c r="Z355" s="91">
        <v>45869</v>
      </c>
      <c r="AA355" s="91">
        <v>45870</v>
      </c>
      <c r="AB355" s="91">
        <v>45991</v>
      </c>
      <c r="AC355" s="92">
        <v>45882.72152777778</v>
      </c>
    </row>
    <row r="356" spans="1:29" customFormat="1" ht="16" x14ac:dyDescent="0.2">
      <c r="A356" s="90" t="s">
        <v>0</v>
      </c>
      <c r="B356" s="90" t="s">
        <v>454</v>
      </c>
      <c r="C356" s="90" t="s">
        <v>873</v>
      </c>
      <c r="D356" s="91">
        <v>33223</v>
      </c>
      <c r="E356" s="90">
        <v>35</v>
      </c>
      <c r="F356" s="90" t="s">
        <v>11</v>
      </c>
      <c r="G356" s="90" t="s">
        <v>10</v>
      </c>
      <c r="H356" s="90" t="s">
        <v>10</v>
      </c>
      <c r="I356" s="88"/>
      <c r="J356" s="90" t="s">
        <v>273</v>
      </c>
      <c r="K356" s="90" t="s">
        <v>292</v>
      </c>
      <c r="L356" s="90" t="s">
        <v>3</v>
      </c>
      <c r="M356" s="90" t="s">
        <v>6</v>
      </c>
      <c r="N356" s="90" t="s">
        <v>117</v>
      </c>
      <c r="O356" s="91">
        <v>45692</v>
      </c>
      <c r="P356" s="91">
        <v>45695</v>
      </c>
      <c r="Q356" s="91">
        <v>45699</v>
      </c>
      <c r="R356" s="91">
        <v>45722</v>
      </c>
      <c r="S356" s="91">
        <v>45722</v>
      </c>
      <c r="T356" s="91">
        <v>45875</v>
      </c>
      <c r="U356" s="90" t="s">
        <v>218</v>
      </c>
      <c r="V356" s="90" t="s">
        <v>224</v>
      </c>
      <c r="W356" s="90">
        <v>1</v>
      </c>
      <c r="X356" s="90" t="s">
        <v>118</v>
      </c>
      <c r="Y356" s="91">
        <v>45717</v>
      </c>
      <c r="Z356" s="91">
        <v>45869</v>
      </c>
      <c r="AA356" s="88"/>
      <c r="AB356" s="88"/>
      <c r="AC356" s="92">
        <v>45909.724305555559</v>
      </c>
    </row>
    <row r="357" spans="1:29" customFormat="1" ht="16" x14ac:dyDescent="0.2">
      <c r="A357" s="90" t="s">
        <v>1</v>
      </c>
      <c r="B357" s="90" t="s">
        <v>572</v>
      </c>
      <c r="C357" s="90" t="s">
        <v>115</v>
      </c>
      <c r="D357" s="91">
        <v>27948</v>
      </c>
      <c r="E357" s="90">
        <v>49</v>
      </c>
      <c r="F357" s="90" t="s">
        <v>11</v>
      </c>
      <c r="G357" s="90" t="s">
        <v>10</v>
      </c>
      <c r="H357" s="90" t="s">
        <v>10</v>
      </c>
      <c r="I357" s="88"/>
      <c r="J357" s="90" t="s">
        <v>8</v>
      </c>
      <c r="K357" s="90" t="s">
        <v>340</v>
      </c>
      <c r="L357" s="90" t="s">
        <v>4</v>
      </c>
      <c r="M357" s="90" t="s">
        <v>6</v>
      </c>
      <c r="N357" s="90" t="s">
        <v>120</v>
      </c>
      <c r="O357" s="91">
        <v>45692</v>
      </c>
      <c r="P357" s="91">
        <v>45728</v>
      </c>
      <c r="Q357" s="91">
        <v>45740</v>
      </c>
      <c r="R357" s="91">
        <v>45761</v>
      </c>
      <c r="S357" s="91">
        <v>45761</v>
      </c>
      <c r="T357" s="91">
        <v>45929</v>
      </c>
      <c r="U357" s="90" t="s">
        <v>319</v>
      </c>
      <c r="V357" s="90" t="s">
        <v>224</v>
      </c>
      <c r="W357" s="90">
        <v>1</v>
      </c>
      <c r="X357" s="90" t="s">
        <v>228</v>
      </c>
      <c r="Y357" s="91">
        <v>45748</v>
      </c>
      <c r="Z357" s="91">
        <v>45930</v>
      </c>
      <c r="AA357" s="88"/>
      <c r="AB357" s="88"/>
      <c r="AC357" s="92">
        <v>45921.443749999999</v>
      </c>
    </row>
    <row r="358" spans="1:29" customFormat="1" ht="16" x14ac:dyDescent="0.2">
      <c r="A358" s="90" t="s">
        <v>1</v>
      </c>
      <c r="B358" s="90" t="s">
        <v>163</v>
      </c>
      <c r="C358" s="90" t="s">
        <v>874</v>
      </c>
      <c r="D358" s="91">
        <v>24425</v>
      </c>
      <c r="E358" s="90">
        <v>59</v>
      </c>
      <c r="F358" s="90" t="s">
        <v>10</v>
      </c>
      <c r="G358" s="90" t="s">
        <v>11</v>
      </c>
      <c r="H358" s="90" t="s">
        <v>10</v>
      </c>
      <c r="I358" s="91">
        <v>43160</v>
      </c>
      <c r="J358" s="90" t="s">
        <v>153</v>
      </c>
      <c r="K358" s="90" t="s">
        <v>154</v>
      </c>
      <c r="L358" s="90" t="s">
        <v>3</v>
      </c>
      <c r="M358" s="90" t="s">
        <v>6</v>
      </c>
      <c r="N358" s="90" t="s">
        <v>117</v>
      </c>
      <c r="O358" s="91">
        <v>45692</v>
      </c>
      <c r="P358" s="91">
        <v>45692</v>
      </c>
      <c r="Q358" s="91">
        <v>45692</v>
      </c>
      <c r="R358" s="91">
        <v>45729</v>
      </c>
      <c r="S358" s="91">
        <v>45790</v>
      </c>
      <c r="T358" s="91">
        <v>45951</v>
      </c>
      <c r="U358" s="90" t="s">
        <v>320</v>
      </c>
      <c r="V358" s="90" t="s">
        <v>224</v>
      </c>
      <c r="W358" s="90">
        <v>3</v>
      </c>
      <c r="X358" s="90" t="s">
        <v>228</v>
      </c>
      <c r="Y358" s="91">
        <v>45778</v>
      </c>
      <c r="Z358" s="91">
        <v>45961</v>
      </c>
      <c r="AA358" s="91">
        <v>45962</v>
      </c>
      <c r="AB358" s="91">
        <v>46053</v>
      </c>
      <c r="AC358" s="92">
        <v>45953.469444444447</v>
      </c>
    </row>
    <row r="359" spans="1:29" customFormat="1" ht="16" x14ac:dyDescent="0.2">
      <c r="A359" s="90" t="s">
        <v>0</v>
      </c>
      <c r="B359" s="90" t="s">
        <v>983</v>
      </c>
      <c r="C359" s="90" t="s">
        <v>518</v>
      </c>
      <c r="D359" s="91">
        <v>25602</v>
      </c>
      <c r="E359" s="90">
        <v>55</v>
      </c>
      <c r="F359" s="90" t="s">
        <v>11</v>
      </c>
      <c r="G359" s="90" t="s">
        <v>11</v>
      </c>
      <c r="H359" s="90" t="s">
        <v>10</v>
      </c>
      <c r="I359" s="91">
        <v>45200</v>
      </c>
      <c r="J359" s="90" t="s">
        <v>182</v>
      </c>
      <c r="K359" s="90" t="s">
        <v>183</v>
      </c>
      <c r="L359" s="90" t="s">
        <v>7</v>
      </c>
      <c r="M359" s="90" t="s">
        <v>6</v>
      </c>
      <c r="N359" s="88"/>
      <c r="O359" s="91">
        <v>45692</v>
      </c>
      <c r="P359" s="91">
        <v>45707</v>
      </c>
      <c r="Q359" s="91">
        <v>45708</v>
      </c>
      <c r="R359" s="91">
        <v>45716</v>
      </c>
      <c r="S359" s="91">
        <v>45720</v>
      </c>
      <c r="T359" s="91">
        <v>45723</v>
      </c>
      <c r="U359" s="90" t="s">
        <v>269</v>
      </c>
      <c r="V359" s="90" t="s">
        <v>227</v>
      </c>
      <c r="W359" s="90">
        <v>1</v>
      </c>
      <c r="X359" s="90" t="s">
        <v>228</v>
      </c>
      <c r="Y359" s="91">
        <v>45717</v>
      </c>
      <c r="Z359" s="91">
        <v>45900</v>
      </c>
      <c r="AA359" s="88"/>
      <c r="AB359" s="88"/>
      <c r="AC359" s="92">
        <v>45723.398611111108</v>
      </c>
    </row>
    <row r="360" spans="1:29" customFormat="1" ht="16" x14ac:dyDescent="0.2">
      <c r="A360" s="90" t="s">
        <v>0</v>
      </c>
      <c r="B360" s="90" t="s">
        <v>282</v>
      </c>
      <c r="C360" s="90" t="s">
        <v>875</v>
      </c>
      <c r="D360" s="91">
        <v>37113</v>
      </c>
      <c r="E360" s="90">
        <v>24</v>
      </c>
      <c r="F360" s="90" t="s">
        <v>11</v>
      </c>
      <c r="G360" s="90" t="s">
        <v>11</v>
      </c>
      <c r="H360" s="90" t="s">
        <v>11</v>
      </c>
      <c r="I360" s="88"/>
      <c r="J360" s="90" t="s">
        <v>305</v>
      </c>
      <c r="K360" s="90" t="s">
        <v>306</v>
      </c>
      <c r="L360" s="90" t="s">
        <v>5</v>
      </c>
      <c r="M360" s="90" t="s">
        <v>9</v>
      </c>
      <c r="N360" s="88"/>
      <c r="O360" s="91">
        <v>45692</v>
      </c>
      <c r="P360" s="91">
        <v>45744</v>
      </c>
      <c r="Q360" s="91">
        <v>45754</v>
      </c>
      <c r="R360" s="91">
        <v>45784</v>
      </c>
      <c r="S360" s="91">
        <v>45754</v>
      </c>
      <c r="T360" s="91">
        <v>45784</v>
      </c>
      <c r="U360" s="90" t="s">
        <v>92</v>
      </c>
      <c r="V360" s="90" t="s">
        <v>224</v>
      </c>
      <c r="W360" s="90">
        <v>1</v>
      </c>
      <c r="X360" s="90" t="s">
        <v>228</v>
      </c>
      <c r="Y360" s="88"/>
      <c r="Z360" s="88"/>
      <c r="AA360" s="88"/>
      <c r="AB360" s="88"/>
      <c r="AC360" s="92">
        <v>45812.577777777777</v>
      </c>
    </row>
    <row r="361" spans="1:29" customFormat="1" ht="16" x14ac:dyDescent="0.2">
      <c r="A361" s="90" t="s">
        <v>0</v>
      </c>
      <c r="B361" s="90" t="s">
        <v>826</v>
      </c>
      <c r="C361" s="90" t="s">
        <v>827</v>
      </c>
      <c r="D361" s="91">
        <v>25186</v>
      </c>
      <c r="E361" s="90">
        <v>57</v>
      </c>
      <c r="F361" s="90" t="s">
        <v>11</v>
      </c>
      <c r="G361" s="90" t="s">
        <v>10</v>
      </c>
      <c r="H361" s="90" t="s">
        <v>10</v>
      </c>
      <c r="I361" s="91">
        <v>44562</v>
      </c>
      <c r="J361" s="90" t="s">
        <v>734</v>
      </c>
      <c r="K361" s="90" t="s">
        <v>735</v>
      </c>
      <c r="L361" s="90" t="s">
        <v>4</v>
      </c>
      <c r="M361" s="90" t="s">
        <v>6</v>
      </c>
      <c r="N361" s="90" t="s">
        <v>120</v>
      </c>
      <c r="O361" s="91">
        <v>45691</v>
      </c>
      <c r="P361" s="91">
        <v>45806</v>
      </c>
      <c r="Q361" s="91">
        <v>45706</v>
      </c>
      <c r="R361" s="91">
        <v>45756</v>
      </c>
      <c r="S361" s="91">
        <v>45756</v>
      </c>
      <c r="T361" s="91">
        <v>45822</v>
      </c>
      <c r="U361" s="90" t="s">
        <v>408</v>
      </c>
      <c r="V361" s="90" t="s">
        <v>224</v>
      </c>
      <c r="W361" s="90">
        <v>2</v>
      </c>
      <c r="X361" s="90" t="s">
        <v>228</v>
      </c>
      <c r="Y361" s="91">
        <v>45748</v>
      </c>
      <c r="Z361" s="91">
        <v>45930</v>
      </c>
      <c r="AA361" s="88"/>
      <c r="AB361" s="88"/>
      <c r="AC361" s="92">
        <v>45822.646527777775</v>
      </c>
    </row>
    <row r="362" spans="1:29" customFormat="1" ht="16" x14ac:dyDescent="0.2">
      <c r="A362" s="90" t="s">
        <v>0</v>
      </c>
      <c r="B362" s="90" t="s">
        <v>355</v>
      </c>
      <c r="C362" s="90" t="s">
        <v>828</v>
      </c>
      <c r="D362" s="91">
        <v>34085</v>
      </c>
      <c r="E362" s="90">
        <v>32</v>
      </c>
      <c r="F362" s="90" t="s">
        <v>11</v>
      </c>
      <c r="G362" s="90" t="s">
        <v>11</v>
      </c>
      <c r="H362" s="90" t="s">
        <v>10</v>
      </c>
      <c r="I362" s="91">
        <v>45108</v>
      </c>
      <c r="J362" s="90" t="s">
        <v>110</v>
      </c>
      <c r="K362" s="90" t="s">
        <v>128</v>
      </c>
      <c r="L362" s="90" t="s">
        <v>7</v>
      </c>
      <c r="M362" s="90" t="s">
        <v>6</v>
      </c>
      <c r="N362" s="90" t="s">
        <v>120</v>
      </c>
      <c r="O362" s="91">
        <v>45691</v>
      </c>
      <c r="P362" s="91">
        <v>45700</v>
      </c>
      <c r="Q362" s="91">
        <v>45705</v>
      </c>
      <c r="R362" s="91">
        <v>45716</v>
      </c>
      <c r="S362" s="91">
        <v>45720</v>
      </c>
      <c r="T362" s="91">
        <v>45902</v>
      </c>
      <c r="U362" s="90" t="s">
        <v>407</v>
      </c>
      <c r="V362" s="90" t="s">
        <v>224</v>
      </c>
      <c r="W362" s="90">
        <v>3</v>
      </c>
      <c r="X362" s="90" t="s">
        <v>228</v>
      </c>
      <c r="Y362" s="91">
        <v>45717</v>
      </c>
      <c r="Z362" s="91">
        <v>45900</v>
      </c>
      <c r="AA362" s="88"/>
      <c r="AB362" s="88"/>
      <c r="AC362" s="92">
        <v>45952.828472222223</v>
      </c>
    </row>
    <row r="363" spans="1:29" customFormat="1" ht="16" x14ac:dyDescent="0.2">
      <c r="A363" s="90" t="s">
        <v>0</v>
      </c>
      <c r="B363" s="90" t="s">
        <v>252</v>
      </c>
      <c r="C363" s="90" t="s">
        <v>829</v>
      </c>
      <c r="D363" s="91">
        <v>28289</v>
      </c>
      <c r="E363" s="90">
        <v>48</v>
      </c>
      <c r="F363" s="90" t="s">
        <v>10</v>
      </c>
      <c r="G363" s="90" t="s">
        <v>10</v>
      </c>
      <c r="H363" s="90" t="s">
        <v>10</v>
      </c>
      <c r="I363" s="91">
        <v>43101</v>
      </c>
      <c r="J363" s="90" t="s">
        <v>734</v>
      </c>
      <c r="K363" s="90" t="s">
        <v>735</v>
      </c>
      <c r="L363" s="90" t="s">
        <v>4</v>
      </c>
      <c r="M363" s="90" t="s">
        <v>6</v>
      </c>
      <c r="N363" s="90" t="s">
        <v>174</v>
      </c>
      <c r="O363" s="91">
        <v>45691</v>
      </c>
      <c r="P363" s="91">
        <v>45700</v>
      </c>
      <c r="Q363" s="91">
        <v>45706</v>
      </c>
      <c r="R363" s="91">
        <v>45734</v>
      </c>
      <c r="S363" s="91">
        <v>45734</v>
      </c>
      <c r="T363" s="91">
        <v>45900</v>
      </c>
      <c r="U363" s="90" t="s">
        <v>320</v>
      </c>
      <c r="V363" s="90" t="s">
        <v>224</v>
      </c>
      <c r="W363" s="90">
        <v>2</v>
      </c>
      <c r="X363" s="90" t="s">
        <v>228</v>
      </c>
      <c r="Y363" s="91">
        <v>45717</v>
      </c>
      <c r="Z363" s="91">
        <v>45900</v>
      </c>
      <c r="AA363" s="88"/>
      <c r="AB363" s="88"/>
      <c r="AC363" s="92">
        <v>45926.5625</v>
      </c>
    </row>
    <row r="364" spans="1:29" customFormat="1" ht="16" x14ac:dyDescent="0.2">
      <c r="A364" s="90" t="s">
        <v>0</v>
      </c>
      <c r="B364" s="90" t="s">
        <v>830</v>
      </c>
      <c r="C364" s="90" t="s">
        <v>831</v>
      </c>
      <c r="D364" s="91">
        <v>28050</v>
      </c>
      <c r="E364" s="90">
        <v>49</v>
      </c>
      <c r="F364" s="90" t="s">
        <v>10</v>
      </c>
      <c r="G364" s="90" t="s">
        <v>10</v>
      </c>
      <c r="H364" s="90" t="s">
        <v>10</v>
      </c>
      <c r="I364" s="91">
        <v>42005</v>
      </c>
      <c r="J364" s="90" t="s">
        <v>257</v>
      </c>
      <c r="K364" s="90" t="s">
        <v>832</v>
      </c>
      <c r="L364" s="90" t="s">
        <v>4</v>
      </c>
      <c r="M364" s="90" t="s">
        <v>6</v>
      </c>
      <c r="N364" s="90" t="s">
        <v>119</v>
      </c>
      <c r="O364" s="91">
        <v>45691</v>
      </c>
      <c r="P364" s="91">
        <v>45694</v>
      </c>
      <c r="Q364" s="91">
        <v>45699</v>
      </c>
      <c r="R364" s="91">
        <v>45715</v>
      </c>
      <c r="S364" s="91">
        <v>45715</v>
      </c>
      <c r="T364" s="91">
        <v>45758</v>
      </c>
      <c r="U364" s="90" t="s">
        <v>214</v>
      </c>
      <c r="V364" s="90" t="s">
        <v>224</v>
      </c>
      <c r="W364" s="90">
        <v>1</v>
      </c>
      <c r="X364" s="90" t="s">
        <v>228</v>
      </c>
      <c r="Y364" s="91">
        <v>45717</v>
      </c>
      <c r="Z364" s="91">
        <v>45900</v>
      </c>
      <c r="AA364" s="88"/>
      <c r="AB364" s="88"/>
      <c r="AC364" s="92">
        <v>45758.611805555556</v>
      </c>
    </row>
    <row r="365" spans="1:29" customFormat="1" ht="16" x14ac:dyDescent="0.2">
      <c r="A365" s="90" t="s">
        <v>0</v>
      </c>
      <c r="B365" s="90" t="s">
        <v>427</v>
      </c>
      <c r="C365" s="90" t="s">
        <v>839</v>
      </c>
      <c r="D365" s="91">
        <v>32936</v>
      </c>
      <c r="E365" s="90">
        <v>35</v>
      </c>
      <c r="F365" s="90" t="s">
        <v>10</v>
      </c>
      <c r="G365" s="90" t="s">
        <v>10</v>
      </c>
      <c r="H365" s="90" t="s">
        <v>10</v>
      </c>
      <c r="I365" s="88"/>
      <c r="J365" s="90" t="s">
        <v>493</v>
      </c>
      <c r="K365" s="90" t="s">
        <v>494</v>
      </c>
      <c r="L365" s="90" t="s">
        <v>3</v>
      </c>
      <c r="M365" s="90" t="s">
        <v>396</v>
      </c>
      <c r="N365" s="90" t="s">
        <v>176</v>
      </c>
      <c r="O365" s="91">
        <v>45687</v>
      </c>
      <c r="P365" s="91">
        <v>45687</v>
      </c>
      <c r="Q365" s="91">
        <v>45705</v>
      </c>
      <c r="R365" s="91">
        <v>45715</v>
      </c>
      <c r="S365" s="91">
        <v>45721</v>
      </c>
      <c r="T365" s="91">
        <v>45930</v>
      </c>
      <c r="U365" s="90" t="s">
        <v>362</v>
      </c>
      <c r="V365" s="90" t="s">
        <v>224</v>
      </c>
      <c r="W365" s="90">
        <v>1</v>
      </c>
      <c r="X365" s="90" t="s">
        <v>118</v>
      </c>
      <c r="Y365" s="91">
        <v>45717</v>
      </c>
      <c r="Z365" s="91">
        <v>45869</v>
      </c>
      <c r="AA365" s="91">
        <v>45870</v>
      </c>
      <c r="AB365" s="91">
        <v>45930</v>
      </c>
      <c r="AC365" s="92">
        <v>45950.404166666667</v>
      </c>
    </row>
    <row r="366" spans="1:29" customFormat="1" ht="16" x14ac:dyDescent="0.2">
      <c r="A366" s="90" t="s">
        <v>1</v>
      </c>
      <c r="B366" s="90" t="s">
        <v>837</v>
      </c>
      <c r="C366" s="90" t="s">
        <v>838</v>
      </c>
      <c r="D366" s="91">
        <v>34239</v>
      </c>
      <c r="E366" s="90">
        <v>32</v>
      </c>
      <c r="F366" s="90" t="s">
        <v>11</v>
      </c>
      <c r="G366" s="90" t="s">
        <v>10</v>
      </c>
      <c r="H366" s="90" t="s">
        <v>10</v>
      </c>
      <c r="I366" s="91">
        <v>44927</v>
      </c>
      <c r="J366" s="90" t="s">
        <v>179</v>
      </c>
      <c r="K366" s="90" t="s">
        <v>675</v>
      </c>
      <c r="L366" s="90" t="s">
        <v>4</v>
      </c>
      <c r="M366" s="90" t="s">
        <v>6</v>
      </c>
      <c r="N366" s="90" t="s">
        <v>119</v>
      </c>
      <c r="O366" s="91">
        <v>45688</v>
      </c>
      <c r="P366" s="91">
        <v>45957</v>
      </c>
      <c r="Q366" s="91">
        <v>45691</v>
      </c>
      <c r="R366" s="91">
        <v>45708</v>
      </c>
      <c r="S366" s="91">
        <v>45708</v>
      </c>
      <c r="T366" s="91">
        <v>45868</v>
      </c>
      <c r="U366" s="90" t="s">
        <v>407</v>
      </c>
      <c r="V366" s="90" t="s">
        <v>32</v>
      </c>
      <c r="W366" s="90">
        <v>3</v>
      </c>
      <c r="X366" s="90" t="s">
        <v>228</v>
      </c>
      <c r="Y366" s="91">
        <v>45689</v>
      </c>
      <c r="Z366" s="91">
        <v>45869</v>
      </c>
      <c r="AA366" s="88"/>
      <c r="AB366" s="88"/>
      <c r="AC366" s="92">
        <v>45957.429861111108</v>
      </c>
    </row>
    <row r="367" spans="1:29" customFormat="1" ht="16" x14ac:dyDescent="0.2">
      <c r="A367" s="90" t="s">
        <v>1</v>
      </c>
      <c r="B367" s="90" t="s">
        <v>484</v>
      </c>
      <c r="C367" s="90" t="s">
        <v>836</v>
      </c>
      <c r="D367" s="91">
        <v>23821</v>
      </c>
      <c r="E367" s="90">
        <v>60</v>
      </c>
      <c r="F367" s="90" t="s">
        <v>11</v>
      </c>
      <c r="G367" s="90" t="s">
        <v>11</v>
      </c>
      <c r="H367" s="90" t="s">
        <v>10</v>
      </c>
      <c r="I367" s="91">
        <v>39980</v>
      </c>
      <c r="J367" s="90" t="s">
        <v>426</v>
      </c>
      <c r="K367" s="90" t="s">
        <v>455</v>
      </c>
      <c r="L367" s="90" t="s">
        <v>4</v>
      </c>
      <c r="M367" s="90" t="s">
        <v>396</v>
      </c>
      <c r="N367" s="90" t="s">
        <v>120</v>
      </c>
      <c r="O367" s="91">
        <v>45688</v>
      </c>
      <c r="P367" s="91">
        <v>45745</v>
      </c>
      <c r="Q367" s="91">
        <v>45707</v>
      </c>
      <c r="R367" s="91">
        <v>45758</v>
      </c>
      <c r="S367" s="91">
        <v>45758</v>
      </c>
      <c r="T367" s="88"/>
      <c r="U367" s="90" t="s">
        <v>320</v>
      </c>
      <c r="V367" s="90" t="s">
        <v>32</v>
      </c>
      <c r="W367" s="90">
        <v>3</v>
      </c>
      <c r="X367" s="90" t="s">
        <v>125</v>
      </c>
      <c r="Y367" s="91">
        <v>45748</v>
      </c>
      <c r="Z367" s="91">
        <v>45930</v>
      </c>
      <c r="AA367" s="91">
        <v>45931</v>
      </c>
      <c r="AB367" s="91">
        <v>46022</v>
      </c>
      <c r="AC367" s="92">
        <v>45919.65347222222</v>
      </c>
    </row>
    <row r="368" spans="1:29" customFormat="1" ht="16" x14ac:dyDescent="0.2">
      <c r="A368" s="90" t="s">
        <v>1</v>
      </c>
      <c r="B368" s="90" t="s">
        <v>833</v>
      </c>
      <c r="C368" s="90" t="s">
        <v>334</v>
      </c>
      <c r="D368" s="91">
        <v>28829</v>
      </c>
      <c r="E368" s="90">
        <v>47</v>
      </c>
      <c r="F368" s="90" t="s">
        <v>11</v>
      </c>
      <c r="G368" s="90" t="s">
        <v>10</v>
      </c>
      <c r="H368" s="90" t="s">
        <v>10</v>
      </c>
      <c r="I368" s="88"/>
      <c r="J368" s="90" t="s">
        <v>129</v>
      </c>
      <c r="K368" s="90" t="s">
        <v>130</v>
      </c>
      <c r="L368" s="90" t="s">
        <v>7</v>
      </c>
      <c r="M368" s="90" t="s">
        <v>6</v>
      </c>
      <c r="N368" s="90" t="s">
        <v>119</v>
      </c>
      <c r="O368" s="91">
        <v>45688</v>
      </c>
      <c r="P368" s="91">
        <v>45707</v>
      </c>
      <c r="Q368" s="91">
        <v>45708</v>
      </c>
      <c r="R368" s="91">
        <v>45716</v>
      </c>
      <c r="S368" s="91">
        <v>45720</v>
      </c>
      <c r="T368" s="91">
        <v>45900</v>
      </c>
      <c r="U368" s="90" t="s">
        <v>320</v>
      </c>
      <c r="V368" s="90" t="s">
        <v>224</v>
      </c>
      <c r="W368" s="90">
        <v>1</v>
      </c>
      <c r="X368" s="90" t="s">
        <v>228</v>
      </c>
      <c r="Y368" s="91">
        <v>45717</v>
      </c>
      <c r="Z368" s="91">
        <v>45900</v>
      </c>
      <c r="AA368" s="88"/>
      <c r="AB368" s="88"/>
      <c r="AC368" s="92">
        <v>45905.680555555555</v>
      </c>
    </row>
    <row r="369" spans="1:29" customFormat="1" ht="16" x14ac:dyDescent="0.2">
      <c r="A369" s="90" t="s">
        <v>1</v>
      </c>
      <c r="B369" s="90" t="s">
        <v>834</v>
      </c>
      <c r="C369" s="90" t="s">
        <v>835</v>
      </c>
      <c r="D369" s="91">
        <v>36857</v>
      </c>
      <c r="E369" s="90">
        <v>25</v>
      </c>
      <c r="F369" s="90" t="s">
        <v>11</v>
      </c>
      <c r="G369" s="90" t="s">
        <v>10</v>
      </c>
      <c r="H369" s="88"/>
      <c r="I369" s="88"/>
      <c r="J369" s="90" t="s">
        <v>565</v>
      </c>
      <c r="K369" s="90" t="s">
        <v>492</v>
      </c>
      <c r="L369" s="90" t="s">
        <v>7</v>
      </c>
      <c r="M369" s="90" t="s">
        <v>9</v>
      </c>
      <c r="N369" s="88"/>
      <c r="O369" s="91">
        <v>45688</v>
      </c>
      <c r="P369" s="91">
        <v>45688</v>
      </c>
      <c r="Q369" s="91">
        <v>45708</v>
      </c>
      <c r="R369" s="91">
        <v>45733</v>
      </c>
      <c r="S369" s="91">
        <v>45761</v>
      </c>
      <c r="T369" s="91">
        <v>45952</v>
      </c>
      <c r="U369" s="90" t="s">
        <v>216</v>
      </c>
      <c r="V369" s="90" t="s">
        <v>224</v>
      </c>
      <c r="W369" s="90">
        <v>2</v>
      </c>
      <c r="X369" s="90" t="s">
        <v>228</v>
      </c>
      <c r="Y369" s="91">
        <v>45748</v>
      </c>
      <c r="Z369" s="91">
        <v>45930</v>
      </c>
      <c r="AA369" s="88"/>
      <c r="AB369" s="88"/>
      <c r="AC369" s="92">
        <v>45952.855555555558</v>
      </c>
    </row>
    <row r="370" spans="1:29" customFormat="1" ht="16" x14ac:dyDescent="0.2">
      <c r="A370" s="90" t="s">
        <v>1</v>
      </c>
      <c r="B370" s="90" t="s">
        <v>309</v>
      </c>
      <c r="C370" s="90" t="s">
        <v>840</v>
      </c>
      <c r="D370" s="91">
        <v>31573</v>
      </c>
      <c r="E370" s="90">
        <v>39</v>
      </c>
      <c r="F370" s="90" t="s">
        <v>11</v>
      </c>
      <c r="G370" s="90" t="s">
        <v>10</v>
      </c>
      <c r="H370" s="90" t="s">
        <v>10</v>
      </c>
      <c r="I370" s="91">
        <v>44256</v>
      </c>
      <c r="J370" s="90" t="s">
        <v>734</v>
      </c>
      <c r="K370" s="90" t="s">
        <v>735</v>
      </c>
      <c r="L370" s="90" t="s">
        <v>4</v>
      </c>
      <c r="M370" s="90" t="s">
        <v>6</v>
      </c>
      <c r="N370" s="90" t="s">
        <v>119</v>
      </c>
      <c r="O370" s="91">
        <v>45687</v>
      </c>
      <c r="P370" s="91">
        <v>45688</v>
      </c>
      <c r="Q370" s="91">
        <v>45693</v>
      </c>
      <c r="R370" s="91">
        <v>45727</v>
      </c>
      <c r="S370" s="91">
        <v>45727</v>
      </c>
      <c r="T370" s="91">
        <v>45920</v>
      </c>
      <c r="U370" s="90" t="s">
        <v>319</v>
      </c>
      <c r="V370" s="90" t="s">
        <v>224</v>
      </c>
      <c r="W370" s="90">
        <v>2</v>
      </c>
      <c r="X370" s="90" t="s">
        <v>228</v>
      </c>
      <c r="Y370" s="91">
        <v>45717</v>
      </c>
      <c r="Z370" s="91">
        <v>45900</v>
      </c>
      <c r="AA370" s="88"/>
      <c r="AB370" s="88"/>
      <c r="AC370" s="92">
        <v>45920.644444444442</v>
      </c>
    </row>
    <row r="371" spans="1:29" customFormat="1" ht="16" x14ac:dyDescent="0.2">
      <c r="A371" s="90" t="s">
        <v>0</v>
      </c>
      <c r="B371" s="90" t="s">
        <v>419</v>
      </c>
      <c r="C371" s="90" t="s">
        <v>825</v>
      </c>
      <c r="D371" s="91">
        <v>25084</v>
      </c>
      <c r="E371" s="90">
        <v>57</v>
      </c>
      <c r="F371" s="90" t="s">
        <v>11</v>
      </c>
      <c r="G371" s="90" t="s">
        <v>10</v>
      </c>
      <c r="H371" s="90" t="s">
        <v>10</v>
      </c>
      <c r="I371" s="91">
        <v>43831</v>
      </c>
      <c r="J371" s="90" t="s">
        <v>485</v>
      </c>
      <c r="K371" s="90" t="s">
        <v>211</v>
      </c>
      <c r="L371" s="90" t="s">
        <v>7</v>
      </c>
      <c r="M371" s="90" t="s">
        <v>6</v>
      </c>
      <c r="N371" s="90" t="s">
        <v>120</v>
      </c>
      <c r="O371" s="91">
        <v>45687</v>
      </c>
      <c r="P371" s="91">
        <v>45811</v>
      </c>
      <c r="Q371" s="91">
        <v>45698</v>
      </c>
      <c r="R371" s="91">
        <v>45713</v>
      </c>
      <c r="S371" s="91">
        <v>45713</v>
      </c>
      <c r="T371" s="91">
        <v>45814</v>
      </c>
      <c r="U371" s="90" t="s">
        <v>407</v>
      </c>
      <c r="V371" s="90" t="s">
        <v>224</v>
      </c>
      <c r="W371" s="90">
        <v>1</v>
      </c>
      <c r="X371" s="90" t="s">
        <v>228</v>
      </c>
      <c r="Y371" s="91">
        <v>45689</v>
      </c>
      <c r="Z371" s="91">
        <v>45869</v>
      </c>
      <c r="AA371" s="88"/>
      <c r="AB371" s="88"/>
      <c r="AC371" s="92">
        <v>45814.493055555555</v>
      </c>
    </row>
    <row r="372" spans="1:29" customFormat="1" ht="16" x14ac:dyDescent="0.2">
      <c r="A372" s="90" t="s">
        <v>1</v>
      </c>
      <c r="B372" s="90" t="s">
        <v>710</v>
      </c>
      <c r="C372" s="90" t="s">
        <v>841</v>
      </c>
      <c r="D372" s="91">
        <v>25031</v>
      </c>
      <c r="E372" s="90">
        <v>57</v>
      </c>
      <c r="F372" s="90" t="s">
        <v>11</v>
      </c>
      <c r="G372" s="90" t="s">
        <v>10</v>
      </c>
      <c r="H372" s="90" t="s">
        <v>10</v>
      </c>
      <c r="I372" s="91">
        <v>45047</v>
      </c>
      <c r="J372" s="90" t="s">
        <v>212</v>
      </c>
      <c r="K372" s="90" t="s">
        <v>213</v>
      </c>
      <c r="L372" s="90" t="s">
        <v>5</v>
      </c>
      <c r="M372" s="90" t="s">
        <v>6</v>
      </c>
      <c r="N372" s="90" t="s">
        <v>119</v>
      </c>
      <c r="O372" s="91">
        <v>45687</v>
      </c>
      <c r="P372" s="91">
        <v>45692</v>
      </c>
      <c r="Q372" s="91">
        <v>45693</v>
      </c>
      <c r="R372" s="91">
        <v>45707</v>
      </c>
      <c r="S372" s="91">
        <v>45707</v>
      </c>
      <c r="T372" s="88"/>
      <c r="U372" s="88"/>
      <c r="V372" s="90" t="s">
        <v>32</v>
      </c>
      <c r="W372" s="90">
        <v>2</v>
      </c>
      <c r="X372" s="90" t="s">
        <v>228</v>
      </c>
      <c r="Y372" s="91">
        <v>45689</v>
      </c>
      <c r="Z372" s="91">
        <v>45869</v>
      </c>
      <c r="AA372" s="91">
        <v>45870</v>
      </c>
      <c r="AB372" s="91">
        <v>46022</v>
      </c>
      <c r="AC372" s="92">
        <v>45957.62777777778</v>
      </c>
    </row>
    <row r="373" spans="1:29" customFormat="1" ht="16" x14ac:dyDescent="0.2">
      <c r="A373" s="90" t="s">
        <v>0</v>
      </c>
      <c r="B373" s="90" t="s">
        <v>939</v>
      </c>
      <c r="C373" s="90" t="s">
        <v>940</v>
      </c>
      <c r="D373" s="91">
        <v>24108</v>
      </c>
      <c r="E373" s="90">
        <v>59</v>
      </c>
      <c r="F373" s="90" t="s">
        <v>10</v>
      </c>
      <c r="G373" s="90" t="s">
        <v>10</v>
      </c>
      <c r="H373" s="90" t="s">
        <v>10</v>
      </c>
      <c r="I373" s="91">
        <v>45261</v>
      </c>
      <c r="J373" s="90" t="s">
        <v>275</v>
      </c>
      <c r="K373" s="90" t="s">
        <v>115</v>
      </c>
      <c r="L373" s="90" t="s">
        <v>4</v>
      </c>
      <c r="M373" s="90" t="s">
        <v>6</v>
      </c>
      <c r="N373" s="90" t="s">
        <v>119</v>
      </c>
      <c r="O373" s="91">
        <v>45687</v>
      </c>
      <c r="P373" s="91">
        <v>45873</v>
      </c>
      <c r="Q373" s="91">
        <v>45691</v>
      </c>
      <c r="R373" s="91">
        <v>45709</v>
      </c>
      <c r="S373" s="91">
        <v>45709</v>
      </c>
      <c r="T373" s="91">
        <v>45921</v>
      </c>
      <c r="U373" s="90" t="s">
        <v>1114</v>
      </c>
      <c r="V373" s="90" t="s">
        <v>224</v>
      </c>
      <c r="W373" s="90">
        <v>2</v>
      </c>
      <c r="X373" s="90" t="s">
        <v>228</v>
      </c>
      <c r="Y373" s="91">
        <v>45689</v>
      </c>
      <c r="Z373" s="91">
        <v>45869</v>
      </c>
      <c r="AA373" s="88"/>
      <c r="AB373" s="88"/>
      <c r="AC373" s="92">
        <v>45921.44027777778</v>
      </c>
    </row>
    <row r="374" spans="1:29" customFormat="1" ht="16" x14ac:dyDescent="0.2">
      <c r="A374" s="90" t="s">
        <v>0</v>
      </c>
      <c r="B374" s="90" t="s">
        <v>842</v>
      </c>
      <c r="C374" s="90" t="s">
        <v>843</v>
      </c>
      <c r="D374" s="91">
        <v>23962</v>
      </c>
      <c r="E374" s="90">
        <v>60</v>
      </c>
      <c r="F374" s="90" t="s">
        <v>11</v>
      </c>
      <c r="G374" s="90" t="s">
        <v>10</v>
      </c>
      <c r="H374" s="90" t="s">
        <v>10</v>
      </c>
      <c r="I374" s="91">
        <v>45590</v>
      </c>
      <c r="J374" s="90" t="s">
        <v>110</v>
      </c>
      <c r="K374" s="90" t="s">
        <v>128</v>
      </c>
      <c r="L374" s="90" t="s">
        <v>7</v>
      </c>
      <c r="M374" s="90" t="s">
        <v>6</v>
      </c>
      <c r="N374" s="90" t="s">
        <v>119</v>
      </c>
      <c r="O374" s="91">
        <v>45687</v>
      </c>
      <c r="P374" s="91">
        <v>45687</v>
      </c>
      <c r="Q374" s="91">
        <v>45693</v>
      </c>
      <c r="R374" s="91">
        <v>45726</v>
      </c>
      <c r="S374" s="91">
        <v>45726</v>
      </c>
      <c r="T374" s="91">
        <v>45900</v>
      </c>
      <c r="U374" s="90" t="s">
        <v>320</v>
      </c>
      <c r="V374" s="90" t="s">
        <v>224</v>
      </c>
      <c r="W374" s="90">
        <v>3</v>
      </c>
      <c r="X374" s="90" t="s">
        <v>228</v>
      </c>
      <c r="Y374" s="91">
        <v>45717</v>
      </c>
      <c r="Z374" s="91">
        <v>45900</v>
      </c>
      <c r="AA374" s="91">
        <v>45901</v>
      </c>
      <c r="AB374" s="91">
        <v>45961</v>
      </c>
      <c r="AC374" s="92">
        <v>45939.465277777781</v>
      </c>
    </row>
    <row r="375" spans="1:29" customFormat="1" ht="16" x14ac:dyDescent="0.2">
      <c r="A375" s="90" t="s">
        <v>1</v>
      </c>
      <c r="B375" s="90" t="s">
        <v>580</v>
      </c>
      <c r="C375" s="90" t="s">
        <v>581</v>
      </c>
      <c r="D375" s="91">
        <v>24789</v>
      </c>
      <c r="E375" s="90">
        <v>58</v>
      </c>
      <c r="F375" s="90" t="s">
        <v>11</v>
      </c>
      <c r="G375" s="90" t="s">
        <v>11</v>
      </c>
      <c r="H375" s="90" t="s">
        <v>10</v>
      </c>
      <c r="I375" s="91">
        <v>40544</v>
      </c>
      <c r="J375" s="90" t="s">
        <v>110</v>
      </c>
      <c r="K375" s="90" t="s">
        <v>111</v>
      </c>
      <c r="L375" s="90" t="s">
        <v>3</v>
      </c>
      <c r="M375" s="90" t="s">
        <v>6</v>
      </c>
      <c r="N375" s="90" t="s">
        <v>119</v>
      </c>
      <c r="O375" s="91">
        <v>45687</v>
      </c>
      <c r="P375" s="91">
        <v>45687</v>
      </c>
      <c r="Q375" s="91">
        <v>45702</v>
      </c>
      <c r="R375" s="91">
        <v>45726</v>
      </c>
      <c r="S375" s="91">
        <v>45726</v>
      </c>
      <c r="T375" s="91">
        <v>45825</v>
      </c>
      <c r="U375" s="90" t="s">
        <v>407</v>
      </c>
      <c r="V375" s="90" t="s">
        <v>224</v>
      </c>
      <c r="W375" s="90">
        <v>1</v>
      </c>
      <c r="X375" s="90" t="s">
        <v>118</v>
      </c>
      <c r="Y375" s="91">
        <v>45717</v>
      </c>
      <c r="Z375" s="91">
        <v>45869</v>
      </c>
      <c r="AA375" s="88"/>
      <c r="AB375" s="88"/>
      <c r="AC375" s="92">
        <v>45952.853472222225</v>
      </c>
    </row>
    <row r="376" spans="1:29" customFormat="1" ht="16" x14ac:dyDescent="0.2">
      <c r="A376" s="90" t="s">
        <v>1</v>
      </c>
      <c r="B376" s="90" t="s">
        <v>184</v>
      </c>
      <c r="C376" s="90" t="s">
        <v>849</v>
      </c>
      <c r="D376" s="91">
        <v>28816</v>
      </c>
      <c r="E376" s="90">
        <v>47</v>
      </c>
      <c r="F376" s="90" t="s">
        <v>10</v>
      </c>
      <c r="G376" s="90" t="s">
        <v>10</v>
      </c>
      <c r="H376" s="90" t="s">
        <v>10</v>
      </c>
      <c r="I376" s="91">
        <v>44927</v>
      </c>
      <c r="J376" s="90" t="s">
        <v>179</v>
      </c>
      <c r="K376" s="90" t="s">
        <v>675</v>
      </c>
      <c r="L376" s="90" t="s">
        <v>4</v>
      </c>
      <c r="M376" s="90" t="s">
        <v>6</v>
      </c>
      <c r="N376" s="90" t="s">
        <v>119</v>
      </c>
      <c r="O376" s="91">
        <v>45686</v>
      </c>
      <c r="P376" s="91">
        <v>45687</v>
      </c>
      <c r="Q376" s="91">
        <v>45687</v>
      </c>
      <c r="R376" s="91">
        <v>45708</v>
      </c>
      <c r="S376" s="91">
        <v>45708</v>
      </c>
      <c r="T376" s="91">
        <v>45867</v>
      </c>
      <c r="U376" s="90" t="s">
        <v>95</v>
      </c>
      <c r="V376" s="90" t="s">
        <v>224</v>
      </c>
      <c r="W376" s="90">
        <v>2</v>
      </c>
      <c r="X376" s="90" t="s">
        <v>228</v>
      </c>
      <c r="Y376" s="91">
        <v>45689</v>
      </c>
      <c r="Z376" s="91">
        <v>45869</v>
      </c>
      <c r="AA376" s="88"/>
      <c r="AB376" s="88"/>
      <c r="AC376" s="92">
        <v>45867.809027777781</v>
      </c>
    </row>
    <row r="377" spans="1:29" customFormat="1" ht="16" x14ac:dyDescent="0.2">
      <c r="A377" s="90" t="s">
        <v>1</v>
      </c>
      <c r="B377" s="90" t="s">
        <v>300</v>
      </c>
      <c r="C377" s="90" t="s">
        <v>389</v>
      </c>
      <c r="D377" s="91">
        <v>33181</v>
      </c>
      <c r="E377" s="90">
        <v>35</v>
      </c>
      <c r="F377" s="90" t="s">
        <v>11</v>
      </c>
      <c r="G377" s="90" t="s">
        <v>10</v>
      </c>
      <c r="H377" s="90" t="s">
        <v>10</v>
      </c>
      <c r="I377" s="91">
        <v>43132</v>
      </c>
      <c r="J377" s="90" t="s">
        <v>264</v>
      </c>
      <c r="K377" s="90" t="s">
        <v>265</v>
      </c>
      <c r="L377" s="90" t="s">
        <v>5</v>
      </c>
      <c r="M377" s="90" t="s">
        <v>6</v>
      </c>
      <c r="N377" s="90" t="s">
        <v>120</v>
      </c>
      <c r="O377" s="91">
        <v>45686</v>
      </c>
      <c r="P377" s="91">
        <v>45686</v>
      </c>
      <c r="Q377" s="91">
        <v>45688</v>
      </c>
      <c r="R377" s="91">
        <v>45693</v>
      </c>
      <c r="S377" s="91">
        <v>45693</v>
      </c>
      <c r="T377" s="91">
        <v>45971</v>
      </c>
      <c r="U377" s="90" t="s">
        <v>60</v>
      </c>
      <c r="V377" s="90" t="s">
        <v>224</v>
      </c>
      <c r="W377" s="90">
        <v>4</v>
      </c>
      <c r="X377" s="90" t="s">
        <v>228</v>
      </c>
      <c r="Y377" s="91">
        <v>45689</v>
      </c>
      <c r="Z377" s="91">
        <v>45869</v>
      </c>
      <c r="AA377" s="91">
        <v>45870</v>
      </c>
      <c r="AB377" s="91">
        <v>45991</v>
      </c>
      <c r="AC377" s="92">
        <v>45941.420138888891</v>
      </c>
    </row>
    <row r="378" spans="1:29" customFormat="1" ht="16" x14ac:dyDescent="0.2">
      <c r="A378" s="90" t="s">
        <v>0</v>
      </c>
      <c r="B378" s="90" t="s">
        <v>847</v>
      </c>
      <c r="C378" s="90" t="s">
        <v>848</v>
      </c>
      <c r="D378" s="91">
        <v>26449</v>
      </c>
      <c r="E378" s="90">
        <v>53</v>
      </c>
      <c r="F378" s="90" t="s">
        <v>11</v>
      </c>
      <c r="G378" s="90" t="s">
        <v>11</v>
      </c>
      <c r="H378" s="90" t="s">
        <v>10</v>
      </c>
      <c r="I378" s="91">
        <v>43983</v>
      </c>
      <c r="J378" s="90" t="s">
        <v>262</v>
      </c>
      <c r="K378" s="90" t="s">
        <v>438</v>
      </c>
      <c r="L378" s="90" t="s">
        <v>7</v>
      </c>
      <c r="M378" s="90" t="s">
        <v>6</v>
      </c>
      <c r="N378" s="90" t="s">
        <v>119</v>
      </c>
      <c r="O378" s="91">
        <v>45686</v>
      </c>
      <c r="P378" s="91">
        <v>45687</v>
      </c>
      <c r="Q378" s="91">
        <v>45693</v>
      </c>
      <c r="R378" s="91">
        <v>45715</v>
      </c>
      <c r="S378" s="91">
        <v>45715</v>
      </c>
      <c r="T378" s="91">
        <v>45856</v>
      </c>
      <c r="U378" s="90" t="s">
        <v>319</v>
      </c>
      <c r="V378" s="90" t="s">
        <v>224</v>
      </c>
      <c r="W378" s="90">
        <v>2</v>
      </c>
      <c r="X378" s="90" t="s">
        <v>228</v>
      </c>
      <c r="Y378" s="91">
        <v>45689</v>
      </c>
      <c r="Z378" s="91">
        <v>45869</v>
      </c>
      <c r="AA378" s="88"/>
      <c r="AB378" s="88"/>
      <c r="AC378" s="92">
        <v>45856.379166666666</v>
      </c>
    </row>
    <row r="379" spans="1:29" customFormat="1" ht="16" x14ac:dyDescent="0.2">
      <c r="A379" s="90" t="s">
        <v>0</v>
      </c>
      <c r="B379" s="90" t="s">
        <v>200</v>
      </c>
      <c r="C379" s="90" t="s">
        <v>844</v>
      </c>
      <c r="D379" s="91">
        <v>27948</v>
      </c>
      <c r="E379" s="90">
        <v>49</v>
      </c>
      <c r="F379" s="90" t="s">
        <v>11</v>
      </c>
      <c r="G379" s="90" t="s">
        <v>11</v>
      </c>
      <c r="H379" s="90" t="s">
        <v>10</v>
      </c>
      <c r="I379" s="91">
        <v>39448</v>
      </c>
      <c r="J379" s="90" t="s">
        <v>845</v>
      </c>
      <c r="K379" s="90" t="s">
        <v>846</v>
      </c>
      <c r="L379" s="90" t="s">
        <v>4</v>
      </c>
      <c r="M379" s="90" t="s">
        <v>6</v>
      </c>
      <c r="N379" s="90" t="s">
        <v>119</v>
      </c>
      <c r="O379" s="91">
        <v>45686</v>
      </c>
      <c r="P379" s="91">
        <v>45687</v>
      </c>
      <c r="Q379" s="91">
        <v>45691</v>
      </c>
      <c r="R379" s="91">
        <v>45715</v>
      </c>
      <c r="S379" s="91">
        <v>45715</v>
      </c>
      <c r="T379" s="91">
        <v>45891</v>
      </c>
      <c r="U379" s="90" t="s">
        <v>320</v>
      </c>
      <c r="V379" s="90" t="s">
        <v>224</v>
      </c>
      <c r="W379" s="90">
        <v>1</v>
      </c>
      <c r="X379" s="90" t="s">
        <v>228</v>
      </c>
      <c r="Y379" s="91">
        <v>45689</v>
      </c>
      <c r="Z379" s="91">
        <v>45869</v>
      </c>
      <c r="AA379" s="88"/>
      <c r="AB379" s="88"/>
      <c r="AC379" s="92">
        <v>45891.652083333334</v>
      </c>
    </row>
    <row r="380" spans="1:29" customFormat="1" ht="16" x14ac:dyDescent="0.2">
      <c r="A380" s="90" t="s">
        <v>0</v>
      </c>
      <c r="B380" s="90" t="s">
        <v>553</v>
      </c>
      <c r="C380" s="90" t="s">
        <v>554</v>
      </c>
      <c r="D380" s="91">
        <v>26449</v>
      </c>
      <c r="E380" s="90">
        <v>53</v>
      </c>
      <c r="F380" s="90" t="s">
        <v>10</v>
      </c>
      <c r="G380" s="90" t="s">
        <v>10</v>
      </c>
      <c r="H380" s="90" t="s">
        <v>10</v>
      </c>
      <c r="I380" s="91">
        <v>43862</v>
      </c>
      <c r="J380" s="90" t="s">
        <v>347</v>
      </c>
      <c r="K380" s="90" t="s">
        <v>348</v>
      </c>
      <c r="L380" s="90" t="s">
        <v>4</v>
      </c>
      <c r="M380" s="90" t="s">
        <v>6</v>
      </c>
      <c r="N380" s="90" t="s">
        <v>119</v>
      </c>
      <c r="O380" s="91">
        <v>45685</v>
      </c>
      <c r="P380" s="91">
        <v>45686</v>
      </c>
      <c r="Q380" s="91">
        <v>45687</v>
      </c>
      <c r="R380" s="91">
        <v>45714</v>
      </c>
      <c r="S380" s="91">
        <v>45719</v>
      </c>
      <c r="T380" s="91">
        <v>45868</v>
      </c>
      <c r="U380" s="90" t="s">
        <v>407</v>
      </c>
      <c r="V380" s="90" t="s">
        <v>224</v>
      </c>
      <c r="W380" s="90">
        <v>1</v>
      </c>
      <c r="X380" s="90" t="s">
        <v>228</v>
      </c>
      <c r="Y380" s="91">
        <v>45717</v>
      </c>
      <c r="Z380" s="91">
        <v>45900</v>
      </c>
      <c r="AA380" s="88"/>
      <c r="AB380" s="88"/>
      <c r="AC380" s="92">
        <v>45868.301388888889</v>
      </c>
    </row>
    <row r="381" spans="1:29" customFormat="1" ht="16" x14ac:dyDescent="0.2">
      <c r="A381" s="90" t="s">
        <v>0</v>
      </c>
      <c r="B381" s="90" t="s">
        <v>177</v>
      </c>
      <c r="C381" s="90" t="s">
        <v>178</v>
      </c>
      <c r="D381" s="91">
        <v>25022</v>
      </c>
      <c r="E381" s="90">
        <v>57</v>
      </c>
      <c r="F381" s="90" t="s">
        <v>10</v>
      </c>
      <c r="G381" s="90" t="s">
        <v>10</v>
      </c>
      <c r="H381" s="90" t="s">
        <v>10</v>
      </c>
      <c r="I381" s="91">
        <v>43405</v>
      </c>
      <c r="J381" s="90" t="s">
        <v>182</v>
      </c>
      <c r="K381" s="90" t="s">
        <v>183</v>
      </c>
      <c r="L381" s="90" t="s">
        <v>7</v>
      </c>
      <c r="M381" s="90" t="s">
        <v>6</v>
      </c>
      <c r="N381" s="90" t="s">
        <v>119</v>
      </c>
      <c r="O381" s="91">
        <v>45685</v>
      </c>
      <c r="P381" s="91">
        <v>45686</v>
      </c>
      <c r="Q381" s="91">
        <v>45687</v>
      </c>
      <c r="R381" s="91">
        <v>45702</v>
      </c>
      <c r="S381" s="91">
        <v>45702</v>
      </c>
      <c r="T381" s="91">
        <v>45869</v>
      </c>
      <c r="U381" s="90" t="s">
        <v>407</v>
      </c>
      <c r="V381" s="90" t="s">
        <v>224</v>
      </c>
      <c r="W381" s="90">
        <v>2</v>
      </c>
      <c r="X381" s="90" t="s">
        <v>228</v>
      </c>
      <c r="Y381" s="91">
        <v>45689</v>
      </c>
      <c r="Z381" s="91">
        <v>45869</v>
      </c>
      <c r="AA381" s="88"/>
      <c r="AB381" s="88"/>
      <c r="AC381" s="92">
        <v>45953.45</v>
      </c>
    </row>
    <row r="382" spans="1:29" customFormat="1" ht="16" x14ac:dyDescent="0.2">
      <c r="A382" s="90" t="s">
        <v>0</v>
      </c>
      <c r="B382" s="90" t="s">
        <v>400</v>
      </c>
      <c r="C382" s="90" t="s">
        <v>850</v>
      </c>
      <c r="D382" s="91">
        <v>26067</v>
      </c>
      <c r="E382" s="90">
        <v>54</v>
      </c>
      <c r="F382" s="90" t="s">
        <v>11</v>
      </c>
      <c r="G382" s="90" t="s">
        <v>11</v>
      </c>
      <c r="H382" s="90" t="s">
        <v>10</v>
      </c>
      <c r="I382" s="91">
        <v>40269</v>
      </c>
      <c r="J382" s="90" t="s">
        <v>188</v>
      </c>
      <c r="K382" s="90" t="s">
        <v>189</v>
      </c>
      <c r="L382" s="90" t="s">
        <v>5</v>
      </c>
      <c r="M382" s="90" t="s">
        <v>6</v>
      </c>
      <c r="N382" s="90" t="s">
        <v>119</v>
      </c>
      <c r="O382" s="91">
        <v>45685</v>
      </c>
      <c r="P382" s="91">
        <v>45719</v>
      </c>
      <c r="Q382" s="91">
        <v>45708</v>
      </c>
      <c r="R382" s="91">
        <v>45719</v>
      </c>
      <c r="S382" s="91">
        <v>45728</v>
      </c>
      <c r="T382" s="91">
        <v>45838</v>
      </c>
      <c r="U382" s="90" t="s">
        <v>407</v>
      </c>
      <c r="V382" s="90" t="s">
        <v>224</v>
      </c>
      <c r="W382" s="90">
        <v>1</v>
      </c>
      <c r="X382" s="90" t="s">
        <v>228</v>
      </c>
      <c r="Y382" s="91">
        <v>45717</v>
      </c>
      <c r="Z382" s="91">
        <v>45900</v>
      </c>
      <c r="AA382" s="88"/>
      <c r="AB382" s="88"/>
      <c r="AC382" s="92">
        <v>45894.628472222219</v>
      </c>
    </row>
    <row r="383" spans="1:29" customFormat="1" ht="16" x14ac:dyDescent="0.2">
      <c r="A383" s="90" t="s">
        <v>0</v>
      </c>
      <c r="B383" s="90" t="s">
        <v>854</v>
      </c>
      <c r="C383" s="90" t="s">
        <v>855</v>
      </c>
      <c r="D383" s="91">
        <v>26398</v>
      </c>
      <c r="E383" s="90">
        <v>53</v>
      </c>
      <c r="F383" s="90" t="s">
        <v>11</v>
      </c>
      <c r="G383" s="90" t="s">
        <v>10</v>
      </c>
      <c r="H383" s="90" t="s">
        <v>10</v>
      </c>
      <c r="I383" s="88"/>
      <c r="J383" s="90" t="s">
        <v>331</v>
      </c>
      <c r="K383" s="90" t="s">
        <v>332</v>
      </c>
      <c r="L383" s="90" t="s">
        <v>3</v>
      </c>
      <c r="M383" s="90" t="s">
        <v>6</v>
      </c>
      <c r="N383" s="90" t="s">
        <v>174</v>
      </c>
      <c r="O383" s="91">
        <v>45681</v>
      </c>
      <c r="P383" s="91">
        <v>45683</v>
      </c>
      <c r="Q383" s="91">
        <v>45686</v>
      </c>
      <c r="R383" s="91">
        <v>45707</v>
      </c>
      <c r="S383" s="91">
        <v>45707</v>
      </c>
      <c r="T383" s="91">
        <v>45888</v>
      </c>
      <c r="U383" s="90" t="s">
        <v>218</v>
      </c>
      <c r="V383" s="90" t="s">
        <v>224</v>
      </c>
      <c r="W383" s="90">
        <v>1</v>
      </c>
      <c r="X383" s="90" t="s">
        <v>118</v>
      </c>
      <c r="Y383" s="91">
        <v>45689</v>
      </c>
      <c r="Z383" s="91">
        <v>45869</v>
      </c>
      <c r="AA383" s="91">
        <v>45870</v>
      </c>
      <c r="AB383" s="91">
        <v>45900</v>
      </c>
      <c r="AC383" s="92">
        <v>45888.46597222222</v>
      </c>
    </row>
    <row r="384" spans="1:29" customFormat="1" ht="16" x14ac:dyDescent="0.2">
      <c r="A384" s="90" t="s">
        <v>1</v>
      </c>
      <c r="B384" s="90" t="s">
        <v>271</v>
      </c>
      <c r="C384" s="90" t="s">
        <v>851</v>
      </c>
      <c r="D384" s="91">
        <v>31065</v>
      </c>
      <c r="E384" s="90">
        <v>40</v>
      </c>
      <c r="F384" s="90" t="s">
        <v>11</v>
      </c>
      <c r="G384" s="90" t="s">
        <v>10</v>
      </c>
      <c r="H384" s="90" t="s">
        <v>10</v>
      </c>
      <c r="I384" s="88"/>
      <c r="J384" s="90" t="s">
        <v>454</v>
      </c>
      <c r="K384" s="90" t="s">
        <v>201</v>
      </c>
      <c r="L384" s="90" t="s">
        <v>4</v>
      </c>
      <c r="M384" s="90" t="s">
        <v>6</v>
      </c>
      <c r="N384" s="90" t="s">
        <v>120</v>
      </c>
      <c r="O384" s="91">
        <v>45684</v>
      </c>
      <c r="P384" s="91">
        <v>45693</v>
      </c>
      <c r="Q384" s="91">
        <v>45695</v>
      </c>
      <c r="R384" s="91">
        <v>45706</v>
      </c>
      <c r="S384" s="91">
        <v>45706</v>
      </c>
      <c r="T384" s="91">
        <v>45822</v>
      </c>
      <c r="U384" s="90" t="s">
        <v>408</v>
      </c>
      <c r="V384" s="90" t="s">
        <v>224</v>
      </c>
      <c r="W384" s="90">
        <v>1</v>
      </c>
      <c r="X384" s="90" t="s">
        <v>228</v>
      </c>
      <c r="Y384" s="91">
        <v>45717</v>
      </c>
      <c r="Z384" s="91">
        <v>45900</v>
      </c>
      <c r="AA384" s="88"/>
      <c r="AB384" s="88"/>
      <c r="AC384" s="92">
        <v>45952.828472222223</v>
      </c>
    </row>
    <row r="385" spans="1:29" customFormat="1" ht="16" x14ac:dyDescent="0.2">
      <c r="A385" s="90" t="s">
        <v>0</v>
      </c>
      <c r="B385" s="90" t="s">
        <v>212</v>
      </c>
      <c r="C385" s="90" t="s">
        <v>852</v>
      </c>
      <c r="D385" s="91">
        <v>33244</v>
      </c>
      <c r="E385" s="90">
        <v>34</v>
      </c>
      <c r="F385" s="90" t="s">
        <v>10</v>
      </c>
      <c r="G385" s="90" t="s">
        <v>10</v>
      </c>
      <c r="H385" s="90" t="s">
        <v>10</v>
      </c>
      <c r="I385" s="91">
        <v>41153</v>
      </c>
      <c r="J385" s="90" t="s">
        <v>275</v>
      </c>
      <c r="K385" s="90" t="s">
        <v>115</v>
      </c>
      <c r="L385" s="90" t="s">
        <v>4</v>
      </c>
      <c r="M385" s="90" t="s">
        <v>6</v>
      </c>
      <c r="N385" s="90" t="s">
        <v>120</v>
      </c>
      <c r="O385" s="91">
        <v>45684</v>
      </c>
      <c r="P385" s="91">
        <v>45684</v>
      </c>
      <c r="Q385" s="91">
        <v>45691</v>
      </c>
      <c r="R385" s="91">
        <v>45709</v>
      </c>
      <c r="S385" s="91">
        <v>45709</v>
      </c>
      <c r="T385" s="91">
        <v>45869</v>
      </c>
      <c r="U385" s="90" t="s">
        <v>408</v>
      </c>
      <c r="V385" s="90" t="s">
        <v>224</v>
      </c>
      <c r="W385" s="90">
        <v>1</v>
      </c>
      <c r="X385" s="90" t="s">
        <v>228</v>
      </c>
      <c r="Y385" s="91">
        <v>45689</v>
      </c>
      <c r="Z385" s="91">
        <v>45869</v>
      </c>
      <c r="AA385" s="88"/>
      <c r="AB385" s="88"/>
      <c r="AC385" s="92">
        <v>45953.690972222219</v>
      </c>
    </row>
    <row r="386" spans="1:29" customFormat="1" ht="16" x14ac:dyDescent="0.2">
      <c r="A386" s="90" t="s">
        <v>0</v>
      </c>
      <c r="B386" s="90" t="s">
        <v>383</v>
      </c>
      <c r="C386" s="90" t="s">
        <v>853</v>
      </c>
      <c r="D386" s="91">
        <v>29899</v>
      </c>
      <c r="E386" s="90">
        <v>44</v>
      </c>
      <c r="F386" s="90" t="s">
        <v>10</v>
      </c>
      <c r="G386" s="90" t="s">
        <v>11</v>
      </c>
      <c r="H386" s="90" t="s">
        <v>10</v>
      </c>
      <c r="I386" s="91">
        <v>43160</v>
      </c>
      <c r="J386" s="90" t="s">
        <v>151</v>
      </c>
      <c r="K386" s="90" t="s">
        <v>152</v>
      </c>
      <c r="L386" s="90" t="s">
        <v>3</v>
      </c>
      <c r="M386" s="90" t="s">
        <v>6</v>
      </c>
      <c r="N386" s="90" t="s">
        <v>117</v>
      </c>
      <c r="O386" s="91">
        <v>45684</v>
      </c>
      <c r="P386" s="91">
        <v>45684</v>
      </c>
      <c r="Q386" s="91">
        <v>45687</v>
      </c>
      <c r="R386" s="91">
        <v>45693</v>
      </c>
      <c r="S386" s="91">
        <v>45714</v>
      </c>
      <c r="T386" s="91">
        <v>45889</v>
      </c>
      <c r="U386" s="90" t="s">
        <v>218</v>
      </c>
      <c r="V386" s="90" t="s">
        <v>224</v>
      </c>
      <c r="W386" s="90">
        <v>2</v>
      </c>
      <c r="X386" s="90" t="s">
        <v>228</v>
      </c>
      <c r="Y386" s="91">
        <v>45689</v>
      </c>
      <c r="Z386" s="91">
        <v>45838</v>
      </c>
      <c r="AA386" s="91">
        <v>45839</v>
      </c>
      <c r="AB386" s="91">
        <v>45900</v>
      </c>
      <c r="AC386" s="92">
        <v>45910.706250000003</v>
      </c>
    </row>
    <row r="387" spans="1:29" customFormat="1" ht="16" x14ac:dyDescent="0.2">
      <c r="A387" s="90" t="s">
        <v>1</v>
      </c>
      <c r="B387" s="90" t="s">
        <v>349</v>
      </c>
      <c r="C387" s="90" t="s">
        <v>807</v>
      </c>
      <c r="D387" s="91">
        <v>24479</v>
      </c>
      <c r="E387" s="90">
        <v>58</v>
      </c>
      <c r="F387" s="90" t="s">
        <v>11</v>
      </c>
      <c r="G387" s="90" t="s">
        <v>10</v>
      </c>
      <c r="H387" s="90" t="s">
        <v>10</v>
      </c>
      <c r="I387" s="91">
        <v>44774</v>
      </c>
      <c r="J387" s="90" t="s">
        <v>200</v>
      </c>
      <c r="K387" s="90" t="s">
        <v>201</v>
      </c>
      <c r="L387" s="90" t="s">
        <v>3</v>
      </c>
      <c r="M387" s="90" t="s">
        <v>6</v>
      </c>
      <c r="N387" s="90" t="s">
        <v>120</v>
      </c>
      <c r="O387" s="91">
        <v>45681</v>
      </c>
      <c r="P387" s="91">
        <v>45681</v>
      </c>
      <c r="Q387" s="91">
        <v>45686</v>
      </c>
      <c r="R387" s="91">
        <v>45688</v>
      </c>
      <c r="S387" s="91">
        <v>45688</v>
      </c>
      <c r="T387" s="91">
        <v>45952</v>
      </c>
      <c r="U387" s="90" t="s">
        <v>319</v>
      </c>
      <c r="V387" s="90" t="s">
        <v>224</v>
      </c>
      <c r="W387" s="90">
        <v>1</v>
      </c>
      <c r="X387" s="90" t="s">
        <v>228</v>
      </c>
      <c r="Y387" s="91">
        <v>45689</v>
      </c>
      <c r="Z387" s="91">
        <v>45838</v>
      </c>
      <c r="AA387" s="88"/>
      <c r="AB387" s="88"/>
      <c r="AC387" s="92">
        <v>45952.856249999997</v>
      </c>
    </row>
    <row r="388" spans="1:29" customFormat="1" ht="16" x14ac:dyDescent="0.2">
      <c r="A388" s="90" t="s">
        <v>1</v>
      </c>
      <c r="B388" s="90" t="s">
        <v>808</v>
      </c>
      <c r="C388" s="90" t="s">
        <v>809</v>
      </c>
      <c r="D388" s="91">
        <v>36200</v>
      </c>
      <c r="E388" s="90">
        <v>26</v>
      </c>
      <c r="F388" s="90" t="s">
        <v>11</v>
      </c>
      <c r="G388" s="90" t="s">
        <v>10</v>
      </c>
      <c r="H388" s="90" t="s">
        <v>11</v>
      </c>
      <c r="I388" s="88"/>
      <c r="J388" s="90" t="s">
        <v>360</v>
      </c>
      <c r="K388" s="90" t="s">
        <v>164</v>
      </c>
      <c r="L388" s="90" t="s">
        <v>5</v>
      </c>
      <c r="M388" s="90" t="s">
        <v>9</v>
      </c>
      <c r="N388" s="90" t="s">
        <v>124</v>
      </c>
      <c r="O388" s="91">
        <v>45681</v>
      </c>
      <c r="P388" s="91">
        <v>45695</v>
      </c>
      <c r="Q388" s="91">
        <v>45698</v>
      </c>
      <c r="R388" s="91">
        <v>45707</v>
      </c>
      <c r="S388" s="91">
        <v>45707</v>
      </c>
      <c r="T388" s="91">
        <v>45747</v>
      </c>
      <c r="U388" s="90" t="s">
        <v>1112</v>
      </c>
      <c r="V388" s="90" t="s">
        <v>224</v>
      </c>
      <c r="W388" s="90">
        <v>1</v>
      </c>
      <c r="X388" s="90" t="s">
        <v>228</v>
      </c>
      <c r="Y388" s="88"/>
      <c r="Z388" s="88"/>
      <c r="AA388" s="88"/>
      <c r="AB388" s="88"/>
      <c r="AC388" s="92">
        <v>45778.478472222225</v>
      </c>
    </row>
    <row r="389" spans="1:29" customFormat="1" ht="16" x14ac:dyDescent="0.2">
      <c r="A389" s="90" t="s">
        <v>0</v>
      </c>
      <c r="B389" s="90" t="s">
        <v>427</v>
      </c>
      <c r="C389" s="90" t="s">
        <v>567</v>
      </c>
      <c r="D389" s="91">
        <v>25861</v>
      </c>
      <c r="E389" s="90">
        <v>55</v>
      </c>
      <c r="F389" s="90" t="s">
        <v>11</v>
      </c>
      <c r="G389" s="90" t="s">
        <v>11</v>
      </c>
      <c r="H389" s="90" t="s">
        <v>10</v>
      </c>
      <c r="I389" s="91">
        <v>43160</v>
      </c>
      <c r="J389" s="90" t="s">
        <v>275</v>
      </c>
      <c r="K389" s="90" t="s">
        <v>115</v>
      </c>
      <c r="L389" s="90" t="s">
        <v>4</v>
      </c>
      <c r="M389" s="90" t="s">
        <v>6</v>
      </c>
      <c r="N389" s="90" t="s">
        <v>119</v>
      </c>
      <c r="O389" s="91">
        <v>45681</v>
      </c>
      <c r="P389" s="91">
        <v>45684</v>
      </c>
      <c r="Q389" s="91">
        <v>45686</v>
      </c>
      <c r="R389" s="91">
        <v>45705</v>
      </c>
      <c r="S389" s="91">
        <v>45705</v>
      </c>
      <c r="T389" s="91">
        <v>45789</v>
      </c>
      <c r="U389" s="90" t="s">
        <v>1202</v>
      </c>
      <c r="V389" s="90" t="s">
        <v>224</v>
      </c>
      <c r="W389" s="90">
        <v>4</v>
      </c>
      <c r="X389" s="90" t="s">
        <v>228</v>
      </c>
      <c r="Y389" s="91">
        <v>45689</v>
      </c>
      <c r="Z389" s="91">
        <v>45869</v>
      </c>
      <c r="AA389" s="88"/>
      <c r="AB389" s="88"/>
      <c r="AC389" s="92">
        <v>45789.632638888892</v>
      </c>
    </row>
    <row r="390" spans="1:29" customFormat="1" ht="16" x14ac:dyDescent="0.2">
      <c r="A390" s="90" t="s">
        <v>0</v>
      </c>
      <c r="B390" s="90" t="s">
        <v>514</v>
      </c>
      <c r="C390" s="90" t="s">
        <v>810</v>
      </c>
      <c r="D390" s="91">
        <v>30508</v>
      </c>
      <c r="E390" s="90">
        <v>42</v>
      </c>
      <c r="F390" s="90" t="s">
        <v>11</v>
      </c>
      <c r="G390" s="90" t="s">
        <v>10</v>
      </c>
      <c r="H390" s="90" t="s">
        <v>10</v>
      </c>
      <c r="I390" s="91">
        <v>45444</v>
      </c>
      <c r="J390" s="90" t="s">
        <v>493</v>
      </c>
      <c r="K390" s="90" t="s">
        <v>494</v>
      </c>
      <c r="L390" s="90" t="s">
        <v>3</v>
      </c>
      <c r="M390" s="90" t="s">
        <v>396</v>
      </c>
      <c r="N390" s="90" t="s">
        <v>119</v>
      </c>
      <c r="O390" s="91">
        <v>45681</v>
      </c>
      <c r="P390" s="91">
        <v>45957</v>
      </c>
      <c r="Q390" s="91">
        <v>45686</v>
      </c>
      <c r="R390" s="91">
        <v>45705</v>
      </c>
      <c r="S390" s="91">
        <v>45705</v>
      </c>
      <c r="T390" s="91">
        <v>45869</v>
      </c>
      <c r="U390" s="90" t="s">
        <v>319</v>
      </c>
      <c r="V390" s="90" t="s">
        <v>32</v>
      </c>
      <c r="W390" s="90">
        <v>1</v>
      </c>
      <c r="X390" s="90" t="s">
        <v>118</v>
      </c>
      <c r="Y390" s="91">
        <v>45689</v>
      </c>
      <c r="Z390" s="91">
        <v>45838</v>
      </c>
      <c r="AA390" s="88"/>
      <c r="AB390" s="88"/>
      <c r="AC390" s="92">
        <v>45957.615277777775</v>
      </c>
    </row>
    <row r="391" spans="1:29" customFormat="1" ht="16" x14ac:dyDescent="0.2">
      <c r="A391" s="90" t="s">
        <v>0</v>
      </c>
      <c r="B391" s="90" t="s">
        <v>153</v>
      </c>
      <c r="C391" s="90" t="s">
        <v>811</v>
      </c>
      <c r="D391" s="91">
        <v>34774</v>
      </c>
      <c r="E391" s="90">
        <v>30</v>
      </c>
      <c r="F391" s="90" t="s">
        <v>11</v>
      </c>
      <c r="G391" s="90" t="s">
        <v>11</v>
      </c>
      <c r="H391" s="90" t="s">
        <v>10</v>
      </c>
      <c r="I391" s="91">
        <v>43891</v>
      </c>
      <c r="J391" s="90" t="s">
        <v>131</v>
      </c>
      <c r="K391" s="90" t="s">
        <v>133</v>
      </c>
      <c r="L391" s="90" t="s">
        <v>3</v>
      </c>
      <c r="M391" s="90" t="s">
        <v>6</v>
      </c>
      <c r="N391" s="90" t="s">
        <v>117</v>
      </c>
      <c r="O391" s="91">
        <v>45680</v>
      </c>
      <c r="P391" s="91">
        <v>45877</v>
      </c>
      <c r="Q391" s="91">
        <v>45681</v>
      </c>
      <c r="R391" s="91">
        <v>45693</v>
      </c>
      <c r="S391" s="91">
        <v>45715</v>
      </c>
      <c r="T391" s="88"/>
      <c r="U391" s="90" t="s">
        <v>328</v>
      </c>
      <c r="V391" s="90" t="s">
        <v>32</v>
      </c>
      <c r="W391" s="90">
        <v>3</v>
      </c>
      <c r="X391" s="90" t="s">
        <v>228</v>
      </c>
      <c r="Y391" s="91">
        <v>45748</v>
      </c>
      <c r="Z391" s="91">
        <v>45930</v>
      </c>
      <c r="AA391" s="91">
        <v>45931</v>
      </c>
      <c r="AB391" s="91">
        <v>45961</v>
      </c>
      <c r="AC391" s="92">
        <v>45958.5625</v>
      </c>
    </row>
    <row r="392" spans="1:29" customFormat="1" ht="16" x14ac:dyDescent="0.2">
      <c r="A392" s="90" t="s">
        <v>0</v>
      </c>
      <c r="B392" s="90" t="s">
        <v>812</v>
      </c>
      <c r="C392" s="90" t="s">
        <v>813</v>
      </c>
      <c r="D392" s="91">
        <v>28317</v>
      </c>
      <c r="E392" s="90">
        <v>48</v>
      </c>
      <c r="F392" s="90" t="s">
        <v>11</v>
      </c>
      <c r="G392" s="90" t="s">
        <v>10</v>
      </c>
      <c r="H392" s="90" t="s">
        <v>10</v>
      </c>
      <c r="I392" s="88"/>
      <c r="J392" s="90" t="s">
        <v>145</v>
      </c>
      <c r="K392" s="90" t="s">
        <v>146</v>
      </c>
      <c r="L392" s="90" t="s">
        <v>3</v>
      </c>
      <c r="M392" s="90" t="s">
        <v>6</v>
      </c>
      <c r="N392" s="88"/>
      <c r="O392" s="91">
        <v>45680</v>
      </c>
      <c r="P392" s="88"/>
      <c r="Q392" s="88"/>
      <c r="R392" s="88"/>
      <c r="S392" s="88"/>
      <c r="T392" s="88"/>
      <c r="U392" s="88"/>
      <c r="V392" s="90" t="s">
        <v>227</v>
      </c>
      <c r="W392" s="90">
        <v>0</v>
      </c>
      <c r="X392" s="88"/>
      <c r="Y392" s="88"/>
      <c r="Z392" s="88"/>
      <c r="AA392" s="88"/>
      <c r="AB392" s="88"/>
      <c r="AC392" s="92">
        <v>45681.477777777778</v>
      </c>
    </row>
    <row r="393" spans="1:29" customFormat="1" ht="16" x14ac:dyDescent="0.2">
      <c r="A393" s="90" t="s">
        <v>0</v>
      </c>
      <c r="B393" s="90" t="s">
        <v>212</v>
      </c>
      <c r="C393" s="90" t="s">
        <v>817</v>
      </c>
      <c r="D393" s="91">
        <v>26352</v>
      </c>
      <c r="E393" s="90">
        <v>53</v>
      </c>
      <c r="F393" s="90" t="s">
        <v>11</v>
      </c>
      <c r="G393" s="90" t="s">
        <v>11</v>
      </c>
      <c r="H393" s="90" t="s">
        <v>10</v>
      </c>
      <c r="I393" s="91">
        <v>44958</v>
      </c>
      <c r="J393" s="90" t="s">
        <v>485</v>
      </c>
      <c r="K393" s="90" t="s">
        <v>211</v>
      </c>
      <c r="L393" s="90" t="s">
        <v>7</v>
      </c>
      <c r="M393" s="90" t="s">
        <v>6</v>
      </c>
      <c r="N393" s="90" t="s">
        <v>120</v>
      </c>
      <c r="O393" s="91">
        <v>45679</v>
      </c>
      <c r="P393" s="91">
        <v>45681</v>
      </c>
      <c r="Q393" s="91">
        <v>45684</v>
      </c>
      <c r="R393" s="91">
        <v>45695</v>
      </c>
      <c r="S393" s="91">
        <v>45695</v>
      </c>
      <c r="T393" s="91">
        <v>45860</v>
      </c>
      <c r="U393" s="90" t="s">
        <v>319</v>
      </c>
      <c r="V393" s="90" t="s">
        <v>224</v>
      </c>
      <c r="W393" s="90">
        <v>1</v>
      </c>
      <c r="X393" s="90" t="s">
        <v>228</v>
      </c>
      <c r="Y393" s="91">
        <v>45689</v>
      </c>
      <c r="Z393" s="91">
        <v>45869</v>
      </c>
      <c r="AA393" s="88"/>
      <c r="AB393" s="88"/>
      <c r="AC393" s="92">
        <v>45958.59375</v>
      </c>
    </row>
    <row r="394" spans="1:29" customFormat="1" ht="16" x14ac:dyDescent="0.2">
      <c r="A394" s="90" t="s">
        <v>1</v>
      </c>
      <c r="B394" s="90" t="s">
        <v>239</v>
      </c>
      <c r="C394" s="90" t="s">
        <v>814</v>
      </c>
      <c r="D394" s="91">
        <v>30234</v>
      </c>
      <c r="E394" s="90">
        <v>43</v>
      </c>
      <c r="F394" s="90" t="s">
        <v>11</v>
      </c>
      <c r="G394" s="90" t="s">
        <v>10</v>
      </c>
      <c r="H394" s="90" t="s">
        <v>10</v>
      </c>
      <c r="I394" s="91">
        <v>44986</v>
      </c>
      <c r="J394" s="90" t="s">
        <v>431</v>
      </c>
      <c r="K394" s="90" t="s">
        <v>815</v>
      </c>
      <c r="L394" s="90" t="s">
        <v>4</v>
      </c>
      <c r="M394" s="90" t="s">
        <v>6</v>
      </c>
      <c r="N394" s="90" t="s">
        <v>119</v>
      </c>
      <c r="O394" s="91">
        <v>45679</v>
      </c>
      <c r="P394" s="91">
        <v>45679</v>
      </c>
      <c r="Q394" s="91">
        <v>45686</v>
      </c>
      <c r="R394" s="91">
        <v>45708</v>
      </c>
      <c r="S394" s="91">
        <v>45708</v>
      </c>
      <c r="T394" s="91">
        <v>45894</v>
      </c>
      <c r="U394" s="90" t="s">
        <v>1505</v>
      </c>
      <c r="V394" s="90" t="s">
        <v>224</v>
      </c>
      <c r="W394" s="90">
        <v>2</v>
      </c>
      <c r="X394" s="90" t="s">
        <v>228</v>
      </c>
      <c r="Y394" s="91">
        <v>45689</v>
      </c>
      <c r="Z394" s="91">
        <v>45869</v>
      </c>
      <c r="AA394" s="88"/>
      <c r="AB394" s="88"/>
      <c r="AC394" s="92">
        <v>45957.411111111112</v>
      </c>
    </row>
    <row r="395" spans="1:29" customFormat="1" ht="16" x14ac:dyDescent="0.2">
      <c r="A395" s="90" t="s">
        <v>1</v>
      </c>
      <c r="B395" s="90" t="s">
        <v>433</v>
      </c>
      <c r="C395" s="90" t="s">
        <v>816</v>
      </c>
      <c r="D395" s="91">
        <v>26648</v>
      </c>
      <c r="E395" s="90">
        <v>53</v>
      </c>
      <c r="F395" s="90" t="s">
        <v>11</v>
      </c>
      <c r="G395" s="90" t="s">
        <v>11</v>
      </c>
      <c r="H395" s="90" t="s">
        <v>10</v>
      </c>
      <c r="I395" s="91">
        <v>45597</v>
      </c>
      <c r="J395" s="90" t="s">
        <v>110</v>
      </c>
      <c r="K395" s="90" t="s">
        <v>128</v>
      </c>
      <c r="L395" s="90" t="s">
        <v>7</v>
      </c>
      <c r="M395" s="90" t="s">
        <v>6</v>
      </c>
      <c r="N395" s="90" t="s">
        <v>225</v>
      </c>
      <c r="O395" s="91">
        <v>45679</v>
      </c>
      <c r="P395" s="91">
        <v>45681</v>
      </c>
      <c r="Q395" s="91">
        <v>45684</v>
      </c>
      <c r="R395" s="91">
        <v>45695</v>
      </c>
      <c r="S395" s="91">
        <v>45695</v>
      </c>
      <c r="T395" s="91">
        <v>45876</v>
      </c>
      <c r="U395" s="90" t="s">
        <v>320</v>
      </c>
      <c r="V395" s="90" t="s">
        <v>224</v>
      </c>
      <c r="W395" s="90">
        <v>4</v>
      </c>
      <c r="X395" s="90" t="s">
        <v>228</v>
      </c>
      <c r="Y395" s="91">
        <v>45689</v>
      </c>
      <c r="Z395" s="91">
        <v>45869</v>
      </c>
      <c r="AA395" s="88"/>
      <c r="AB395" s="88"/>
      <c r="AC395" s="92">
        <v>45952.82916666667</v>
      </c>
    </row>
    <row r="396" spans="1:29" customFormat="1" ht="16" x14ac:dyDescent="0.2">
      <c r="A396" s="90" t="s">
        <v>0</v>
      </c>
      <c r="B396" s="90" t="s">
        <v>818</v>
      </c>
      <c r="C396" s="90" t="s">
        <v>819</v>
      </c>
      <c r="D396" s="91">
        <v>30441</v>
      </c>
      <c r="E396" s="90">
        <v>42</v>
      </c>
      <c r="F396" s="90" t="s">
        <v>11</v>
      </c>
      <c r="G396" s="90" t="s">
        <v>11</v>
      </c>
      <c r="H396" s="90" t="s">
        <v>10</v>
      </c>
      <c r="I396" s="91">
        <v>44136</v>
      </c>
      <c r="J396" s="90" t="s">
        <v>188</v>
      </c>
      <c r="K396" s="90" t="s">
        <v>189</v>
      </c>
      <c r="L396" s="90" t="s">
        <v>5</v>
      </c>
      <c r="M396" s="90" t="s">
        <v>6</v>
      </c>
      <c r="N396" s="90" t="s">
        <v>119</v>
      </c>
      <c r="O396" s="91">
        <v>45678</v>
      </c>
      <c r="P396" s="91">
        <v>45678</v>
      </c>
      <c r="Q396" s="91">
        <v>45679</v>
      </c>
      <c r="R396" s="91">
        <v>45686</v>
      </c>
      <c r="S396" s="91">
        <v>45686</v>
      </c>
      <c r="T396" s="91">
        <v>45807</v>
      </c>
      <c r="U396" s="90" t="s">
        <v>97</v>
      </c>
      <c r="V396" s="90" t="s">
        <v>224</v>
      </c>
      <c r="W396" s="90">
        <v>1</v>
      </c>
      <c r="X396" s="90" t="s">
        <v>228</v>
      </c>
      <c r="Y396" s="91">
        <v>45658</v>
      </c>
      <c r="Z396" s="91">
        <v>45838</v>
      </c>
      <c r="AA396" s="88"/>
      <c r="AB396" s="88"/>
      <c r="AC396" s="92">
        <v>45822.442361111112</v>
      </c>
    </row>
    <row r="397" spans="1:29" customFormat="1" ht="16" x14ac:dyDescent="0.2">
      <c r="A397" s="90" t="s">
        <v>0</v>
      </c>
      <c r="B397" s="90" t="s">
        <v>378</v>
      </c>
      <c r="C397" s="90" t="s">
        <v>820</v>
      </c>
      <c r="D397" s="91">
        <v>23709</v>
      </c>
      <c r="E397" s="90">
        <v>61</v>
      </c>
      <c r="F397" s="90" t="s">
        <v>10</v>
      </c>
      <c r="G397" s="90" t="s">
        <v>10</v>
      </c>
      <c r="H397" s="90" t="s">
        <v>10</v>
      </c>
      <c r="I397" s="91">
        <v>41821</v>
      </c>
      <c r="J397" s="90" t="s">
        <v>275</v>
      </c>
      <c r="K397" s="90" t="s">
        <v>115</v>
      </c>
      <c r="L397" s="90" t="s">
        <v>4</v>
      </c>
      <c r="M397" s="90" t="s">
        <v>6</v>
      </c>
      <c r="N397" s="90" t="s">
        <v>119</v>
      </c>
      <c r="O397" s="91">
        <v>45677</v>
      </c>
      <c r="P397" s="91">
        <v>45679</v>
      </c>
      <c r="Q397" s="91">
        <v>45698</v>
      </c>
      <c r="R397" s="91">
        <v>45712</v>
      </c>
      <c r="S397" s="91">
        <v>45717</v>
      </c>
      <c r="T397" s="91">
        <v>45867</v>
      </c>
      <c r="U397" s="90" t="s">
        <v>319</v>
      </c>
      <c r="V397" s="90" t="s">
        <v>224</v>
      </c>
      <c r="W397" s="90">
        <v>2</v>
      </c>
      <c r="X397" s="90" t="s">
        <v>228</v>
      </c>
      <c r="Y397" s="91">
        <v>45717</v>
      </c>
      <c r="Z397" s="91">
        <v>45900</v>
      </c>
      <c r="AA397" s="88"/>
      <c r="AB397" s="88"/>
      <c r="AC397" s="92">
        <v>45876.383333333331</v>
      </c>
    </row>
    <row r="398" spans="1:29" customFormat="1" ht="16" x14ac:dyDescent="0.2">
      <c r="A398" s="90" t="s">
        <v>0</v>
      </c>
      <c r="B398" s="90" t="s">
        <v>205</v>
      </c>
      <c r="C398" s="90" t="s">
        <v>821</v>
      </c>
      <c r="D398" s="91">
        <v>22648</v>
      </c>
      <c r="E398" s="90">
        <v>63</v>
      </c>
      <c r="F398" s="90" t="s">
        <v>11</v>
      </c>
      <c r="G398" s="90" t="s">
        <v>11</v>
      </c>
      <c r="H398" s="90" t="s">
        <v>10</v>
      </c>
      <c r="I398" s="91">
        <v>43647</v>
      </c>
      <c r="J398" s="90" t="s">
        <v>558</v>
      </c>
      <c r="K398" s="90" t="s">
        <v>822</v>
      </c>
      <c r="L398" s="90" t="s">
        <v>4</v>
      </c>
      <c r="M398" s="90" t="s">
        <v>6</v>
      </c>
      <c r="N398" s="90" t="s">
        <v>119</v>
      </c>
      <c r="O398" s="91">
        <v>45677</v>
      </c>
      <c r="P398" s="91">
        <v>45679</v>
      </c>
      <c r="Q398" s="91">
        <v>45688</v>
      </c>
      <c r="R398" s="91">
        <v>45715</v>
      </c>
      <c r="S398" s="91">
        <v>45715</v>
      </c>
      <c r="T398" s="91">
        <v>45822</v>
      </c>
      <c r="U398" s="90" t="s">
        <v>408</v>
      </c>
      <c r="V398" s="90" t="s">
        <v>224</v>
      </c>
      <c r="W398" s="90">
        <v>1</v>
      </c>
      <c r="X398" s="90" t="s">
        <v>228</v>
      </c>
      <c r="Y398" s="91">
        <v>45717</v>
      </c>
      <c r="Z398" s="91">
        <v>45900</v>
      </c>
      <c r="AA398" s="88"/>
      <c r="AB398" s="88"/>
      <c r="AC398" s="92">
        <v>45822.647916666669</v>
      </c>
    </row>
    <row r="399" spans="1:29" customFormat="1" ht="16" x14ac:dyDescent="0.2">
      <c r="A399" s="90" t="s">
        <v>0</v>
      </c>
      <c r="B399" s="90" t="s">
        <v>35</v>
      </c>
      <c r="C399" s="90" t="s">
        <v>823</v>
      </c>
      <c r="D399" s="91">
        <v>29274</v>
      </c>
      <c r="E399" s="90">
        <v>45</v>
      </c>
      <c r="F399" s="90" t="s">
        <v>11</v>
      </c>
      <c r="G399" s="90" t="s">
        <v>10</v>
      </c>
      <c r="H399" s="90" t="s">
        <v>10</v>
      </c>
      <c r="I399" s="91">
        <v>45627</v>
      </c>
      <c r="J399" s="90" t="s">
        <v>138</v>
      </c>
      <c r="K399" s="90" t="s">
        <v>139</v>
      </c>
      <c r="L399" s="90" t="s">
        <v>7</v>
      </c>
      <c r="M399" s="90" t="s">
        <v>6</v>
      </c>
      <c r="N399" s="90" t="s">
        <v>226</v>
      </c>
      <c r="O399" s="91">
        <v>45677</v>
      </c>
      <c r="P399" s="91">
        <v>45678</v>
      </c>
      <c r="Q399" s="91">
        <v>45684</v>
      </c>
      <c r="R399" s="91">
        <v>45691</v>
      </c>
      <c r="S399" s="91">
        <v>45691</v>
      </c>
      <c r="T399" s="91">
        <v>45868</v>
      </c>
      <c r="U399" s="90" t="s">
        <v>216</v>
      </c>
      <c r="V399" s="90" t="s">
        <v>224</v>
      </c>
      <c r="W399" s="90">
        <v>2</v>
      </c>
      <c r="X399" s="90" t="s">
        <v>228</v>
      </c>
      <c r="Y399" s="91">
        <v>45689</v>
      </c>
      <c r="Z399" s="91">
        <v>45869</v>
      </c>
      <c r="AA399" s="88"/>
      <c r="AB399" s="88"/>
      <c r="AC399" s="92">
        <v>45868.556250000001</v>
      </c>
    </row>
    <row r="400" spans="1:29" customFormat="1" ht="16" x14ac:dyDescent="0.2">
      <c r="A400" s="90" t="s">
        <v>1</v>
      </c>
      <c r="B400" s="90" t="s">
        <v>489</v>
      </c>
      <c r="C400" s="90" t="s">
        <v>490</v>
      </c>
      <c r="D400" s="91">
        <v>26943</v>
      </c>
      <c r="E400" s="90">
        <v>52</v>
      </c>
      <c r="F400" s="90" t="s">
        <v>10</v>
      </c>
      <c r="G400" s="90" t="s">
        <v>11</v>
      </c>
      <c r="H400" s="90" t="s">
        <v>10</v>
      </c>
      <c r="I400" s="88"/>
      <c r="J400" s="90" t="s">
        <v>446</v>
      </c>
      <c r="K400" s="90" t="s">
        <v>447</v>
      </c>
      <c r="L400" s="90" t="s">
        <v>7</v>
      </c>
      <c r="M400" s="90" t="s">
        <v>396</v>
      </c>
      <c r="N400" s="90" t="s">
        <v>120</v>
      </c>
      <c r="O400" s="91">
        <v>45677</v>
      </c>
      <c r="P400" s="91">
        <v>45678</v>
      </c>
      <c r="Q400" s="91">
        <v>45684</v>
      </c>
      <c r="R400" s="91">
        <v>45695</v>
      </c>
      <c r="S400" s="91">
        <v>45695</v>
      </c>
      <c r="T400" s="88"/>
      <c r="U400" s="90" t="s">
        <v>319</v>
      </c>
      <c r="V400" s="90" t="s">
        <v>32</v>
      </c>
      <c r="W400" s="90">
        <v>8</v>
      </c>
      <c r="X400" s="90" t="s">
        <v>228</v>
      </c>
      <c r="Y400" s="91">
        <v>45689</v>
      </c>
      <c r="Z400" s="91">
        <v>45869</v>
      </c>
      <c r="AA400" s="91">
        <v>45870</v>
      </c>
      <c r="AB400" s="91">
        <v>45991</v>
      </c>
      <c r="AC400" s="92">
        <v>45945.690972222219</v>
      </c>
    </row>
    <row r="401" spans="1:29" customFormat="1" ht="16" x14ac:dyDescent="0.2">
      <c r="A401" s="90" t="s">
        <v>0</v>
      </c>
      <c r="B401" s="90" t="s">
        <v>824</v>
      </c>
      <c r="C401" s="90" t="s">
        <v>825</v>
      </c>
      <c r="D401" s="91">
        <v>35868</v>
      </c>
      <c r="E401" s="90">
        <v>27</v>
      </c>
      <c r="F401" s="90" t="s">
        <v>11</v>
      </c>
      <c r="G401" s="90" t="s">
        <v>11</v>
      </c>
      <c r="H401" s="90" t="s">
        <v>10</v>
      </c>
      <c r="I401" s="91">
        <v>45047</v>
      </c>
      <c r="J401" s="90" t="s">
        <v>352</v>
      </c>
      <c r="K401" s="90" t="s">
        <v>920</v>
      </c>
      <c r="L401" s="90" t="s">
        <v>5</v>
      </c>
      <c r="M401" s="90" t="s">
        <v>6</v>
      </c>
      <c r="N401" s="90" t="s">
        <v>119</v>
      </c>
      <c r="O401" s="91">
        <v>45677</v>
      </c>
      <c r="P401" s="91">
        <v>45677</v>
      </c>
      <c r="Q401" s="91">
        <v>45679</v>
      </c>
      <c r="R401" s="91">
        <v>45700</v>
      </c>
      <c r="S401" s="91">
        <v>45700</v>
      </c>
      <c r="T401" s="91">
        <v>45812</v>
      </c>
      <c r="U401" s="90" t="s">
        <v>60</v>
      </c>
      <c r="V401" s="90" t="s">
        <v>224</v>
      </c>
      <c r="W401" s="90">
        <v>2</v>
      </c>
      <c r="X401" s="90" t="s">
        <v>228</v>
      </c>
      <c r="Y401" s="91">
        <v>45689</v>
      </c>
      <c r="Z401" s="91">
        <v>45869</v>
      </c>
      <c r="AA401" s="88"/>
      <c r="AB401" s="88"/>
      <c r="AC401" s="92">
        <v>45812.574305555558</v>
      </c>
    </row>
    <row r="402" spans="1:29" customFormat="1" ht="16" x14ac:dyDescent="0.2">
      <c r="A402" s="90" t="s">
        <v>0</v>
      </c>
      <c r="B402" s="90" t="s">
        <v>784</v>
      </c>
      <c r="C402" s="90" t="s">
        <v>785</v>
      </c>
      <c r="D402" s="91">
        <v>25335</v>
      </c>
      <c r="E402" s="90">
        <v>56</v>
      </c>
      <c r="F402" s="90" t="s">
        <v>11</v>
      </c>
      <c r="G402" s="90" t="s">
        <v>10</v>
      </c>
      <c r="H402" s="90" t="s">
        <v>10</v>
      </c>
      <c r="I402" s="91">
        <v>39965</v>
      </c>
      <c r="J402" s="90" t="s">
        <v>734</v>
      </c>
      <c r="K402" s="90" t="s">
        <v>735</v>
      </c>
      <c r="L402" s="90" t="s">
        <v>4</v>
      </c>
      <c r="M402" s="90" t="s">
        <v>6</v>
      </c>
      <c r="N402" s="90" t="s">
        <v>119</v>
      </c>
      <c r="O402" s="91">
        <v>45673</v>
      </c>
      <c r="P402" s="91">
        <v>45679</v>
      </c>
      <c r="Q402" s="91">
        <v>45687</v>
      </c>
      <c r="R402" s="91">
        <v>45715</v>
      </c>
      <c r="S402" s="91">
        <v>45715</v>
      </c>
      <c r="T402" s="91">
        <v>45867</v>
      </c>
      <c r="U402" s="90" t="s">
        <v>319</v>
      </c>
      <c r="V402" s="90" t="s">
        <v>224</v>
      </c>
      <c r="W402" s="90">
        <v>2</v>
      </c>
      <c r="X402" s="90" t="s">
        <v>228</v>
      </c>
      <c r="Y402" s="91">
        <v>45689</v>
      </c>
      <c r="Z402" s="91">
        <v>45869</v>
      </c>
      <c r="AA402" s="88"/>
      <c r="AB402" s="88"/>
      <c r="AC402" s="92">
        <v>45867.657638888886</v>
      </c>
    </row>
    <row r="403" spans="1:29" customFormat="1" ht="16" x14ac:dyDescent="0.2">
      <c r="A403" s="90" t="s">
        <v>0</v>
      </c>
      <c r="B403" s="90" t="s">
        <v>359</v>
      </c>
      <c r="C403" s="90" t="s">
        <v>786</v>
      </c>
      <c r="D403" s="91">
        <v>38375</v>
      </c>
      <c r="E403" s="90">
        <v>20</v>
      </c>
      <c r="F403" s="90" t="s">
        <v>11</v>
      </c>
      <c r="G403" s="90" t="s">
        <v>11</v>
      </c>
      <c r="H403" s="90" t="s">
        <v>11</v>
      </c>
      <c r="I403" s="88"/>
      <c r="J403" s="90" t="s">
        <v>200</v>
      </c>
      <c r="K403" s="90" t="s">
        <v>787</v>
      </c>
      <c r="L403" s="90" t="s">
        <v>5</v>
      </c>
      <c r="M403" s="90" t="s">
        <v>9</v>
      </c>
      <c r="N403" s="90" t="s">
        <v>120</v>
      </c>
      <c r="O403" s="91">
        <v>45673</v>
      </c>
      <c r="P403" s="91">
        <v>45812</v>
      </c>
      <c r="Q403" s="91">
        <v>45699</v>
      </c>
      <c r="R403" s="91">
        <v>45707</v>
      </c>
      <c r="S403" s="91">
        <v>45707</v>
      </c>
      <c r="T403" s="91">
        <v>45844</v>
      </c>
      <c r="U403" s="90" t="s">
        <v>91</v>
      </c>
      <c r="V403" s="90" t="s">
        <v>224</v>
      </c>
      <c r="W403" s="90">
        <v>1</v>
      </c>
      <c r="X403" s="90" t="s">
        <v>228</v>
      </c>
      <c r="Y403" s="88"/>
      <c r="Z403" s="88"/>
      <c r="AA403" s="88"/>
      <c r="AB403" s="88"/>
      <c r="AC403" s="92">
        <v>45844.787499999999</v>
      </c>
    </row>
    <row r="404" spans="1:29" customFormat="1" ht="16" x14ac:dyDescent="0.2">
      <c r="A404" s="90" t="s">
        <v>0</v>
      </c>
      <c r="B404" s="90" t="s">
        <v>788</v>
      </c>
      <c r="C404" s="90" t="s">
        <v>789</v>
      </c>
      <c r="D404" s="91">
        <v>29330</v>
      </c>
      <c r="E404" s="90">
        <v>45</v>
      </c>
      <c r="F404" s="90" t="s">
        <v>11</v>
      </c>
      <c r="G404" s="90" t="s">
        <v>10</v>
      </c>
      <c r="H404" s="90" t="s">
        <v>10</v>
      </c>
      <c r="I404" s="91">
        <v>44470</v>
      </c>
      <c r="J404" s="90" t="s">
        <v>144</v>
      </c>
      <c r="K404" s="90" t="s">
        <v>390</v>
      </c>
      <c r="L404" s="90" t="s">
        <v>4</v>
      </c>
      <c r="M404" s="90" t="s">
        <v>6</v>
      </c>
      <c r="N404" s="90" t="s">
        <v>120</v>
      </c>
      <c r="O404" s="91">
        <v>45673</v>
      </c>
      <c r="P404" s="91">
        <v>45681</v>
      </c>
      <c r="Q404" s="91">
        <v>45687</v>
      </c>
      <c r="R404" s="91">
        <v>45715</v>
      </c>
      <c r="S404" s="91">
        <v>45715</v>
      </c>
      <c r="T404" s="91">
        <v>45919</v>
      </c>
      <c r="U404" s="90" t="s">
        <v>319</v>
      </c>
      <c r="V404" s="90" t="s">
        <v>224</v>
      </c>
      <c r="W404" s="90">
        <v>1</v>
      </c>
      <c r="X404" s="90" t="s">
        <v>125</v>
      </c>
      <c r="Y404" s="91">
        <v>45689</v>
      </c>
      <c r="Z404" s="91">
        <v>45869</v>
      </c>
      <c r="AA404" s="91">
        <v>45870</v>
      </c>
      <c r="AB404" s="91">
        <v>45930</v>
      </c>
      <c r="AC404" s="92">
        <v>45919.416666666664</v>
      </c>
    </row>
    <row r="405" spans="1:29" customFormat="1" ht="16" x14ac:dyDescent="0.2">
      <c r="A405" s="90" t="s">
        <v>1</v>
      </c>
      <c r="B405" s="90" t="s">
        <v>435</v>
      </c>
      <c r="C405" s="90" t="s">
        <v>790</v>
      </c>
      <c r="D405" s="91">
        <v>30358</v>
      </c>
      <c r="E405" s="90">
        <v>42</v>
      </c>
      <c r="F405" s="90" t="s">
        <v>11</v>
      </c>
      <c r="G405" s="90" t="s">
        <v>10</v>
      </c>
      <c r="H405" s="90" t="s">
        <v>10</v>
      </c>
      <c r="I405" s="88"/>
      <c r="J405" s="90" t="s">
        <v>583</v>
      </c>
      <c r="K405" s="90" t="s">
        <v>332</v>
      </c>
      <c r="L405" s="90" t="s">
        <v>3</v>
      </c>
      <c r="M405" s="90" t="s">
        <v>6</v>
      </c>
      <c r="N405" s="90" t="s">
        <v>117</v>
      </c>
      <c r="O405" s="91">
        <v>45673</v>
      </c>
      <c r="P405" s="91">
        <v>45673</v>
      </c>
      <c r="Q405" s="91">
        <v>45677</v>
      </c>
      <c r="R405" s="91">
        <v>45684</v>
      </c>
      <c r="S405" s="91">
        <v>45684</v>
      </c>
      <c r="T405" s="91">
        <v>45845</v>
      </c>
      <c r="U405" s="90" t="s">
        <v>91</v>
      </c>
      <c r="V405" s="90" t="s">
        <v>224</v>
      </c>
      <c r="W405" s="90">
        <v>2</v>
      </c>
      <c r="X405" s="90" t="s">
        <v>118</v>
      </c>
      <c r="Y405" s="91">
        <v>45658</v>
      </c>
      <c r="Z405" s="91">
        <v>45839</v>
      </c>
      <c r="AA405" s="88"/>
      <c r="AB405" s="88"/>
      <c r="AC405" s="92">
        <v>45874.486111111109</v>
      </c>
    </row>
    <row r="406" spans="1:29" customFormat="1" ht="16" x14ac:dyDescent="0.2">
      <c r="A406" s="90" t="s">
        <v>1</v>
      </c>
      <c r="B406" s="90" t="s">
        <v>365</v>
      </c>
      <c r="C406" s="90" t="s">
        <v>791</v>
      </c>
      <c r="D406" s="91">
        <v>25855</v>
      </c>
      <c r="E406" s="90">
        <v>55</v>
      </c>
      <c r="F406" s="90" t="s">
        <v>11</v>
      </c>
      <c r="G406" s="90" t="s">
        <v>10</v>
      </c>
      <c r="H406" s="90" t="s">
        <v>10</v>
      </c>
      <c r="I406" s="91">
        <v>41487</v>
      </c>
      <c r="J406" s="90" t="s">
        <v>363</v>
      </c>
      <c r="K406" s="90" t="s">
        <v>364</v>
      </c>
      <c r="L406" s="90" t="s">
        <v>7</v>
      </c>
      <c r="M406" s="90" t="s">
        <v>6</v>
      </c>
      <c r="N406" s="90" t="s">
        <v>120</v>
      </c>
      <c r="O406" s="91">
        <v>45672</v>
      </c>
      <c r="P406" s="91">
        <v>45674</v>
      </c>
      <c r="Q406" s="91">
        <v>45684</v>
      </c>
      <c r="R406" s="91">
        <v>45699</v>
      </c>
      <c r="S406" s="91">
        <v>45699</v>
      </c>
      <c r="T406" s="88"/>
      <c r="U406" s="90" t="s">
        <v>319</v>
      </c>
      <c r="V406" s="90" t="s">
        <v>32</v>
      </c>
      <c r="W406" s="90">
        <v>4</v>
      </c>
      <c r="X406" s="90" t="s">
        <v>228</v>
      </c>
      <c r="Y406" s="91">
        <v>45689</v>
      </c>
      <c r="Z406" s="91">
        <v>45869</v>
      </c>
      <c r="AA406" s="91">
        <v>45870</v>
      </c>
      <c r="AB406" s="91">
        <v>46022</v>
      </c>
      <c r="AC406" s="92">
        <v>45944.65625</v>
      </c>
    </row>
    <row r="407" spans="1:29" customFormat="1" ht="16" x14ac:dyDescent="0.2">
      <c r="A407" s="90" t="s">
        <v>1</v>
      </c>
      <c r="B407" s="90" t="s">
        <v>233</v>
      </c>
      <c r="C407" s="90" t="s">
        <v>563</v>
      </c>
      <c r="D407" s="91">
        <v>25613</v>
      </c>
      <c r="E407" s="90">
        <v>55</v>
      </c>
      <c r="F407" s="90" t="s">
        <v>11</v>
      </c>
      <c r="G407" s="90" t="s">
        <v>11</v>
      </c>
      <c r="H407" s="90" t="s">
        <v>10</v>
      </c>
      <c r="I407" s="91">
        <v>43160</v>
      </c>
      <c r="J407" s="90" t="s">
        <v>172</v>
      </c>
      <c r="K407" s="90" t="s">
        <v>173</v>
      </c>
      <c r="L407" s="90" t="s">
        <v>4</v>
      </c>
      <c r="M407" s="90" t="s">
        <v>6</v>
      </c>
      <c r="N407" s="90" t="s">
        <v>119</v>
      </c>
      <c r="O407" s="91">
        <v>45672</v>
      </c>
      <c r="P407" s="91">
        <v>45673</v>
      </c>
      <c r="Q407" s="91">
        <v>45684</v>
      </c>
      <c r="R407" s="91">
        <v>45705</v>
      </c>
      <c r="S407" s="91">
        <v>45705</v>
      </c>
      <c r="T407" s="91">
        <v>45806</v>
      </c>
      <c r="U407" s="90" t="s">
        <v>216</v>
      </c>
      <c r="V407" s="90" t="s">
        <v>224</v>
      </c>
      <c r="W407" s="90">
        <v>1</v>
      </c>
      <c r="X407" s="90" t="s">
        <v>228</v>
      </c>
      <c r="Y407" s="91">
        <v>45689</v>
      </c>
      <c r="Z407" s="91">
        <v>45869</v>
      </c>
      <c r="AA407" s="88"/>
      <c r="AB407" s="88"/>
      <c r="AC407" s="92">
        <v>45952.831250000003</v>
      </c>
    </row>
    <row r="408" spans="1:29" customFormat="1" ht="16" x14ac:dyDescent="0.2">
      <c r="A408" s="90" t="s">
        <v>0</v>
      </c>
      <c r="B408" s="90" t="s">
        <v>792</v>
      </c>
      <c r="C408" s="90" t="s">
        <v>793</v>
      </c>
      <c r="D408" s="91">
        <v>37788</v>
      </c>
      <c r="E408" s="90">
        <v>22</v>
      </c>
      <c r="F408" s="90" t="s">
        <v>11</v>
      </c>
      <c r="G408" s="90" t="s">
        <v>11</v>
      </c>
      <c r="H408" s="90" t="s">
        <v>11</v>
      </c>
      <c r="I408" s="88"/>
      <c r="J408" s="90" t="s">
        <v>539</v>
      </c>
      <c r="K408" s="90" t="s">
        <v>391</v>
      </c>
      <c r="L408" s="90" t="s">
        <v>7</v>
      </c>
      <c r="M408" s="90" t="s">
        <v>9</v>
      </c>
      <c r="N408" s="88"/>
      <c r="O408" s="91">
        <v>45672</v>
      </c>
      <c r="P408" s="91">
        <v>45674</v>
      </c>
      <c r="Q408" s="91">
        <v>45684</v>
      </c>
      <c r="R408" s="91">
        <v>45705</v>
      </c>
      <c r="S408" s="91">
        <v>45705</v>
      </c>
      <c r="T408" s="91">
        <v>45868</v>
      </c>
      <c r="U408" s="90" t="s">
        <v>216</v>
      </c>
      <c r="V408" s="90" t="s">
        <v>224</v>
      </c>
      <c r="W408" s="90">
        <v>2</v>
      </c>
      <c r="X408" s="90" t="s">
        <v>228</v>
      </c>
      <c r="Y408" s="88"/>
      <c r="Z408" s="88"/>
      <c r="AA408" s="88"/>
      <c r="AB408" s="88"/>
      <c r="AC408" s="92">
        <v>45868.70416666667</v>
      </c>
    </row>
    <row r="409" spans="1:29" customFormat="1" ht="16" x14ac:dyDescent="0.2">
      <c r="A409" s="90" t="s">
        <v>1</v>
      </c>
      <c r="B409" s="90" t="s">
        <v>540</v>
      </c>
      <c r="C409" s="90" t="s">
        <v>794</v>
      </c>
      <c r="D409" s="91">
        <v>24760</v>
      </c>
      <c r="E409" s="90">
        <v>58</v>
      </c>
      <c r="F409" s="90" t="s">
        <v>11</v>
      </c>
      <c r="G409" s="90" t="s">
        <v>10</v>
      </c>
      <c r="H409" s="90" t="s">
        <v>10</v>
      </c>
      <c r="I409" s="91">
        <v>44197</v>
      </c>
      <c r="J409" s="90" t="s">
        <v>109</v>
      </c>
      <c r="K409" s="90" t="s">
        <v>669</v>
      </c>
      <c r="L409" s="90" t="s">
        <v>4</v>
      </c>
      <c r="M409" s="90" t="s">
        <v>6</v>
      </c>
      <c r="N409" s="90" t="s">
        <v>120</v>
      </c>
      <c r="O409" s="91">
        <v>45672</v>
      </c>
      <c r="P409" s="91">
        <v>45673</v>
      </c>
      <c r="Q409" s="91">
        <v>45679</v>
      </c>
      <c r="R409" s="91">
        <v>45692</v>
      </c>
      <c r="S409" s="91">
        <v>45692</v>
      </c>
      <c r="T409" s="91">
        <v>45873</v>
      </c>
      <c r="U409" s="90" t="s">
        <v>320</v>
      </c>
      <c r="V409" s="90" t="s">
        <v>224</v>
      </c>
      <c r="W409" s="90">
        <v>1</v>
      </c>
      <c r="X409" s="90" t="s">
        <v>228</v>
      </c>
      <c r="Y409" s="91">
        <v>45689</v>
      </c>
      <c r="Z409" s="91">
        <v>45869</v>
      </c>
      <c r="AA409" s="88"/>
      <c r="AB409" s="88"/>
      <c r="AC409" s="92">
        <v>45873.583333333336</v>
      </c>
    </row>
    <row r="410" spans="1:29" customFormat="1" ht="16" x14ac:dyDescent="0.2">
      <c r="A410" s="90" t="s">
        <v>0</v>
      </c>
      <c r="B410" s="90" t="s">
        <v>360</v>
      </c>
      <c r="C410" s="90" t="s">
        <v>795</v>
      </c>
      <c r="D410" s="91">
        <v>29221</v>
      </c>
      <c r="E410" s="90">
        <v>45</v>
      </c>
      <c r="F410" s="90" t="s">
        <v>11</v>
      </c>
      <c r="G410" s="90" t="s">
        <v>11</v>
      </c>
      <c r="H410" s="90" t="s">
        <v>10</v>
      </c>
      <c r="I410" s="91">
        <v>39965</v>
      </c>
      <c r="J410" s="90" t="s">
        <v>280</v>
      </c>
      <c r="K410" s="90" t="s">
        <v>281</v>
      </c>
      <c r="L410" s="90" t="s">
        <v>7</v>
      </c>
      <c r="M410" s="90" t="s">
        <v>6</v>
      </c>
      <c r="N410" s="90" t="s">
        <v>120</v>
      </c>
      <c r="O410" s="91">
        <v>45672</v>
      </c>
      <c r="P410" s="91">
        <v>45674</v>
      </c>
      <c r="Q410" s="91">
        <v>45684</v>
      </c>
      <c r="R410" s="91">
        <v>45699</v>
      </c>
      <c r="S410" s="91">
        <v>45699</v>
      </c>
      <c r="T410" s="91">
        <v>45946</v>
      </c>
      <c r="U410" s="90" t="s">
        <v>1201</v>
      </c>
      <c r="V410" s="90" t="s">
        <v>224</v>
      </c>
      <c r="W410" s="90">
        <v>3</v>
      </c>
      <c r="X410" s="90" t="s">
        <v>228</v>
      </c>
      <c r="Y410" s="91">
        <v>45689</v>
      </c>
      <c r="Z410" s="91">
        <v>45869</v>
      </c>
      <c r="AA410" s="88"/>
      <c r="AB410" s="88"/>
      <c r="AC410" s="92">
        <v>45952.456250000003</v>
      </c>
    </row>
    <row r="411" spans="1:29" customFormat="1" ht="16" x14ac:dyDescent="0.2">
      <c r="A411" s="90" t="s">
        <v>0</v>
      </c>
      <c r="B411" s="90" t="s">
        <v>144</v>
      </c>
      <c r="C411" s="90" t="s">
        <v>448</v>
      </c>
      <c r="D411" s="91">
        <v>23920</v>
      </c>
      <c r="E411" s="90">
        <v>60</v>
      </c>
      <c r="F411" s="90" t="s">
        <v>10</v>
      </c>
      <c r="G411" s="90" t="s">
        <v>10</v>
      </c>
      <c r="H411" s="90" t="s">
        <v>10</v>
      </c>
      <c r="I411" s="88"/>
      <c r="J411" s="90" t="s">
        <v>194</v>
      </c>
      <c r="K411" s="90" t="s">
        <v>292</v>
      </c>
      <c r="L411" s="90" t="s">
        <v>3</v>
      </c>
      <c r="M411" s="90" t="s">
        <v>6</v>
      </c>
      <c r="N411" s="88"/>
      <c r="O411" s="91">
        <v>45671</v>
      </c>
      <c r="P411" s="91">
        <v>45673</v>
      </c>
      <c r="Q411" s="91">
        <v>45699</v>
      </c>
      <c r="R411" s="91">
        <v>45722</v>
      </c>
      <c r="S411" s="91">
        <v>45722</v>
      </c>
      <c r="T411" s="91">
        <v>45722</v>
      </c>
      <c r="U411" s="90" t="s">
        <v>92</v>
      </c>
      <c r="V411" s="90" t="s">
        <v>224</v>
      </c>
      <c r="W411" s="90">
        <v>1</v>
      </c>
      <c r="X411" s="90" t="s">
        <v>118</v>
      </c>
      <c r="Y411" s="88"/>
      <c r="Z411" s="88"/>
      <c r="AA411" s="88"/>
      <c r="AB411" s="88"/>
      <c r="AC411" s="92">
        <v>45791.65347222222</v>
      </c>
    </row>
    <row r="412" spans="1:29" customFormat="1" ht="16" x14ac:dyDescent="0.2">
      <c r="A412" s="90" t="s">
        <v>1</v>
      </c>
      <c r="B412" s="90" t="s">
        <v>796</v>
      </c>
      <c r="C412" s="90" t="s">
        <v>797</v>
      </c>
      <c r="D412" s="91">
        <v>31224</v>
      </c>
      <c r="E412" s="90">
        <v>40</v>
      </c>
      <c r="F412" s="90" t="s">
        <v>11</v>
      </c>
      <c r="G412" s="90" t="s">
        <v>10</v>
      </c>
      <c r="H412" s="90" t="s">
        <v>10</v>
      </c>
      <c r="I412" s="88"/>
      <c r="J412" s="90" t="s">
        <v>262</v>
      </c>
      <c r="K412" s="90" t="s">
        <v>438</v>
      </c>
      <c r="L412" s="90" t="s">
        <v>7</v>
      </c>
      <c r="M412" s="90" t="s">
        <v>6</v>
      </c>
      <c r="N412" s="90" t="s">
        <v>120</v>
      </c>
      <c r="O412" s="91">
        <v>45671</v>
      </c>
      <c r="P412" s="91">
        <v>45674</v>
      </c>
      <c r="Q412" s="91">
        <v>45684</v>
      </c>
      <c r="R412" s="91">
        <v>45699</v>
      </c>
      <c r="S412" s="91">
        <v>45699</v>
      </c>
      <c r="T412" s="91">
        <v>45876</v>
      </c>
      <c r="U412" s="90" t="s">
        <v>319</v>
      </c>
      <c r="V412" s="90" t="s">
        <v>224</v>
      </c>
      <c r="W412" s="90">
        <v>4</v>
      </c>
      <c r="X412" s="90" t="s">
        <v>228</v>
      </c>
      <c r="Y412" s="91">
        <v>45689</v>
      </c>
      <c r="Z412" s="91">
        <v>45869</v>
      </c>
      <c r="AA412" s="88"/>
      <c r="AB412" s="88"/>
      <c r="AC412" s="92">
        <v>45876.546527777777</v>
      </c>
    </row>
    <row r="413" spans="1:29" customFormat="1" ht="16" x14ac:dyDescent="0.2">
      <c r="A413" s="90" t="s">
        <v>0</v>
      </c>
      <c r="B413" s="90" t="s">
        <v>984</v>
      </c>
      <c r="C413" s="90" t="s">
        <v>985</v>
      </c>
      <c r="D413" s="91">
        <v>23640</v>
      </c>
      <c r="E413" s="90">
        <v>61</v>
      </c>
      <c r="F413" s="90" t="s">
        <v>11</v>
      </c>
      <c r="G413" s="90" t="s">
        <v>11</v>
      </c>
      <c r="H413" s="90" t="s">
        <v>10</v>
      </c>
      <c r="I413" s="91">
        <v>43952</v>
      </c>
      <c r="J413" s="90" t="s">
        <v>460</v>
      </c>
      <c r="K413" s="90" t="s">
        <v>461</v>
      </c>
      <c r="L413" s="90" t="s">
        <v>7</v>
      </c>
      <c r="M413" s="90" t="s">
        <v>6</v>
      </c>
      <c r="N413" s="90" t="s">
        <v>225</v>
      </c>
      <c r="O413" s="91">
        <v>45671</v>
      </c>
      <c r="P413" s="91">
        <v>45674</v>
      </c>
      <c r="Q413" s="91">
        <v>45684</v>
      </c>
      <c r="R413" s="91">
        <v>45712</v>
      </c>
      <c r="S413" s="91">
        <v>45712</v>
      </c>
      <c r="T413" s="91">
        <v>45827</v>
      </c>
      <c r="U413" s="90" t="s">
        <v>319</v>
      </c>
      <c r="V413" s="90" t="s">
        <v>224</v>
      </c>
      <c r="W413" s="90">
        <v>1</v>
      </c>
      <c r="X413" s="90" t="s">
        <v>228</v>
      </c>
      <c r="Y413" s="91">
        <v>45689</v>
      </c>
      <c r="Z413" s="91">
        <v>45869</v>
      </c>
      <c r="AA413" s="88"/>
      <c r="AB413" s="88"/>
      <c r="AC413" s="92">
        <v>45952.830555555556</v>
      </c>
    </row>
    <row r="414" spans="1:29" customFormat="1" ht="16" x14ac:dyDescent="0.2">
      <c r="A414" s="90" t="s">
        <v>0</v>
      </c>
      <c r="B414" s="90" t="s">
        <v>250</v>
      </c>
      <c r="C414" s="90" t="s">
        <v>299</v>
      </c>
      <c r="D414" s="91">
        <v>30432</v>
      </c>
      <c r="E414" s="90">
        <v>42</v>
      </c>
      <c r="F414" s="90" t="s">
        <v>11</v>
      </c>
      <c r="G414" s="90" t="s">
        <v>11</v>
      </c>
      <c r="H414" s="90" t="s">
        <v>10</v>
      </c>
      <c r="I414" s="88"/>
      <c r="J414" s="90" t="s">
        <v>194</v>
      </c>
      <c r="K414" s="90" t="s">
        <v>292</v>
      </c>
      <c r="L414" s="90" t="s">
        <v>3</v>
      </c>
      <c r="M414" s="90" t="s">
        <v>6</v>
      </c>
      <c r="N414" s="90" t="s">
        <v>174</v>
      </c>
      <c r="O414" s="91">
        <v>45670</v>
      </c>
      <c r="P414" s="91">
        <v>45673</v>
      </c>
      <c r="Q414" s="91">
        <v>45699</v>
      </c>
      <c r="R414" s="91">
        <v>45722</v>
      </c>
      <c r="S414" s="91">
        <v>45722</v>
      </c>
      <c r="T414" s="91">
        <v>45762</v>
      </c>
      <c r="U414" s="90" t="s">
        <v>408</v>
      </c>
      <c r="V414" s="90" t="s">
        <v>224</v>
      </c>
      <c r="W414" s="90">
        <v>1</v>
      </c>
      <c r="X414" s="90" t="s">
        <v>118</v>
      </c>
      <c r="Y414" s="88"/>
      <c r="Z414" s="88"/>
      <c r="AA414" s="88"/>
      <c r="AB414" s="88"/>
      <c r="AC414" s="92">
        <v>45952.831250000003</v>
      </c>
    </row>
    <row r="415" spans="1:29" customFormat="1" ht="16" x14ac:dyDescent="0.2">
      <c r="A415" s="90" t="s">
        <v>1</v>
      </c>
      <c r="B415" s="90" t="s">
        <v>484</v>
      </c>
      <c r="C415" s="90" t="s">
        <v>856</v>
      </c>
      <c r="D415" s="91">
        <v>23484</v>
      </c>
      <c r="E415" s="90">
        <v>61</v>
      </c>
      <c r="F415" s="90" t="s">
        <v>11</v>
      </c>
      <c r="G415" s="90" t="s">
        <v>11</v>
      </c>
      <c r="H415" s="90" t="s">
        <v>10</v>
      </c>
      <c r="I415" s="91">
        <v>45536</v>
      </c>
      <c r="J415" s="90" t="s">
        <v>114</v>
      </c>
      <c r="K415" s="90" t="s">
        <v>245</v>
      </c>
      <c r="L415" s="90" t="s">
        <v>3</v>
      </c>
      <c r="M415" s="90" t="s">
        <v>6</v>
      </c>
      <c r="N415" s="90" t="s">
        <v>119</v>
      </c>
      <c r="O415" s="91">
        <v>45670</v>
      </c>
      <c r="P415" s="91">
        <v>45953</v>
      </c>
      <c r="Q415" s="91">
        <v>45701</v>
      </c>
      <c r="R415" s="91">
        <v>45729</v>
      </c>
      <c r="S415" s="91">
        <v>45735</v>
      </c>
      <c r="T415" s="91">
        <v>45898</v>
      </c>
      <c r="U415" s="90" t="s">
        <v>1506</v>
      </c>
      <c r="V415" s="90" t="s">
        <v>224</v>
      </c>
      <c r="W415" s="90">
        <v>1</v>
      </c>
      <c r="X415" s="90" t="s">
        <v>118</v>
      </c>
      <c r="Y415" s="91">
        <v>45717</v>
      </c>
      <c r="Z415" s="91">
        <v>45900</v>
      </c>
      <c r="AA415" s="88"/>
      <c r="AB415" s="88"/>
      <c r="AC415" s="92">
        <v>45953.675000000003</v>
      </c>
    </row>
    <row r="416" spans="1:29" customFormat="1" ht="16" x14ac:dyDescent="0.2">
      <c r="A416" s="90" t="s">
        <v>1</v>
      </c>
      <c r="B416" s="90" t="s">
        <v>798</v>
      </c>
      <c r="C416" s="90" t="s">
        <v>799</v>
      </c>
      <c r="D416" s="91">
        <v>38747</v>
      </c>
      <c r="E416" s="90">
        <v>19</v>
      </c>
      <c r="F416" s="90" t="s">
        <v>11</v>
      </c>
      <c r="G416" s="90" t="s">
        <v>10</v>
      </c>
      <c r="H416" s="88"/>
      <c r="I416" s="88"/>
      <c r="J416" s="90" t="s">
        <v>140</v>
      </c>
      <c r="K416" s="90" t="s">
        <v>141</v>
      </c>
      <c r="L416" s="90" t="s">
        <v>5</v>
      </c>
      <c r="M416" s="90" t="s">
        <v>9</v>
      </c>
      <c r="N416" s="90" t="s">
        <v>174</v>
      </c>
      <c r="O416" s="91">
        <v>45670</v>
      </c>
      <c r="P416" s="91">
        <v>45672</v>
      </c>
      <c r="Q416" s="91">
        <v>45677</v>
      </c>
      <c r="R416" s="91">
        <v>45679</v>
      </c>
      <c r="S416" s="91">
        <v>45679</v>
      </c>
      <c r="T416" s="91">
        <v>45832</v>
      </c>
      <c r="U416" s="90" t="s">
        <v>1313</v>
      </c>
      <c r="V416" s="90" t="s">
        <v>224</v>
      </c>
      <c r="W416" s="90">
        <v>2</v>
      </c>
      <c r="X416" s="90" t="s">
        <v>125</v>
      </c>
      <c r="Y416" s="88"/>
      <c r="Z416" s="88"/>
      <c r="AA416" s="88"/>
      <c r="AB416" s="88"/>
      <c r="AC416" s="92">
        <v>45840.466666666667</v>
      </c>
    </row>
    <row r="417" spans="1:29" customFormat="1" ht="16" x14ac:dyDescent="0.2">
      <c r="A417" s="90" t="s">
        <v>0</v>
      </c>
      <c r="B417" s="90" t="s">
        <v>209</v>
      </c>
      <c r="C417" s="90" t="s">
        <v>340</v>
      </c>
      <c r="D417" s="91">
        <v>24504</v>
      </c>
      <c r="E417" s="90">
        <v>58</v>
      </c>
      <c r="F417" s="90" t="s">
        <v>11</v>
      </c>
      <c r="G417" s="90" t="s">
        <v>11</v>
      </c>
      <c r="H417" s="90" t="s">
        <v>10</v>
      </c>
      <c r="I417" s="91">
        <v>39965</v>
      </c>
      <c r="J417" s="90" t="s">
        <v>337</v>
      </c>
      <c r="K417" s="90" t="s">
        <v>338</v>
      </c>
      <c r="L417" s="90" t="s">
        <v>3</v>
      </c>
      <c r="M417" s="90" t="s">
        <v>6</v>
      </c>
      <c r="N417" s="88"/>
      <c r="O417" s="91">
        <v>45670</v>
      </c>
      <c r="P417" s="88"/>
      <c r="Q417" s="88"/>
      <c r="R417" s="88"/>
      <c r="S417" s="88"/>
      <c r="T417" s="88"/>
      <c r="U417" s="88"/>
      <c r="V417" s="90" t="s">
        <v>227</v>
      </c>
      <c r="W417" s="90">
        <v>0</v>
      </c>
      <c r="X417" s="88"/>
      <c r="Y417" s="88"/>
      <c r="Z417" s="88"/>
      <c r="AA417" s="88"/>
      <c r="AB417" s="88"/>
      <c r="AC417" s="92">
        <v>45673.67291666667</v>
      </c>
    </row>
    <row r="418" spans="1:29" customFormat="1" ht="16" x14ac:dyDescent="0.2">
      <c r="A418" s="90" t="s">
        <v>1</v>
      </c>
      <c r="B418" s="90" t="s">
        <v>462</v>
      </c>
      <c r="C418" s="90" t="s">
        <v>519</v>
      </c>
      <c r="D418" s="91">
        <v>24877</v>
      </c>
      <c r="E418" s="90">
        <v>57</v>
      </c>
      <c r="F418" s="90" t="s">
        <v>10</v>
      </c>
      <c r="G418" s="90" t="s">
        <v>11</v>
      </c>
      <c r="H418" s="90" t="s">
        <v>10</v>
      </c>
      <c r="I418" s="88"/>
      <c r="J418" s="90" t="s">
        <v>401</v>
      </c>
      <c r="K418" s="90" t="s">
        <v>453</v>
      </c>
      <c r="L418" s="90" t="s">
        <v>7</v>
      </c>
      <c r="M418" s="90" t="s">
        <v>6</v>
      </c>
      <c r="N418" s="90" t="s">
        <v>117</v>
      </c>
      <c r="O418" s="91">
        <v>45670</v>
      </c>
      <c r="P418" s="91">
        <v>45674</v>
      </c>
      <c r="Q418" s="91">
        <v>45692</v>
      </c>
      <c r="R418" s="91">
        <v>45712</v>
      </c>
      <c r="S418" s="91">
        <v>45712</v>
      </c>
      <c r="T418" s="91">
        <v>45855</v>
      </c>
      <c r="U418" s="90" t="s">
        <v>320</v>
      </c>
      <c r="V418" s="90" t="s">
        <v>224</v>
      </c>
      <c r="W418" s="90">
        <v>4</v>
      </c>
      <c r="X418" s="90" t="s">
        <v>228</v>
      </c>
      <c r="Y418" s="91">
        <v>45689</v>
      </c>
      <c r="Z418" s="91">
        <v>45869</v>
      </c>
      <c r="AA418" s="88"/>
      <c r="AB418" s="88"/>
      <c r="AC418" s="92">
        <v>45855.741666666669</v>
      </c>
    </row>
    <row r="419" spans="1:29" customFormat="1" ht="16" x14ac:dyDescent="0.2">
      <c r="A419" s="90" t="s">
        <v>1</v>
      </c>
      <c r="B419" s="90" t="s">
        <v>802</v>
      </c>
      <c r="C419" s="90" t="s">
        <v>570</v>
      </c>
      <c r="D419" s="91">
        <v>29677</v>
      </c>
      <c r="E419" s="90">
        <v>44</v>
      </c>
      <c r="F419" s="90" t="s">
        <v>11</v>
      </c>
      <c r="G419" s="90" t="s">
        <v>10</v>
      </c>
      <c r="H419" s="90" t="s">
        <v>10</v>
      </c>
      <c r="I419" s="88"/>
      <c r="J419" s="90" t="s">
        <v>734</v>
      </c>
      <c r="K419" s="90" t="s">
        <v>735</v>
      </c>
      <c r="L419" s="90" t="s">
        <v>4</v>
      </c>
      <c r="M419" s="90" t="s">
        <v>6</v>
      </c>
      <c r="N419" s="90" t="s">
        <v>226</v>
      </c>
      <c r="O419" s="91">
        <v>45667</v>
      </c>
      <c r="P419" s="91">
        <v>45673</v>
      </c>
      <c r="Q419" s="91">
        <v>45686</v>
      </c>
      <c r="R419" s="91">
        <v>45715</v>
      </c>
      <c r="S419" s="91">
        <v>45719</v>
      </c>
      <c r="T419" s="91">
        <v>45873</v>
      </c>
      <c r="U419" s="90" t="s">
        <v>218</v>
      </c>
      <c r="V419" s="90" t="s">
        <v>224</v>
      </c>
      <c r="W419" s="90">
        <v>2</v>
      </c>
      <c r="X419" s="90" t="s">
        <v>125</v>
      </c>
      <c r="Y419" s="91">
        <v>45717</v>
      </c>
      <c r="Z419" s="91">
        <v>45900</v>
      </c>
      <c r="AA419" s="88"/>
      <c r="AB419" s="88"/>
      <c r="AC419" s="92">
        <v>45887.459722222222</v>
      </c>
    </row>
    <row r="420" spans="1:29" customFormat="1" ht="16" x14ac:dyDescent="0.2">
      <c r="A420" s="90" t="s">
        <v>0</v>
      </c>
      <c r="B420" s="90" t="s">
        <v>200</v>
      </c>
      <c r="C420" s="90" t="s">
        <v>222</v>
      </c>
      <c r="D420" s="91">
        <v>26638</v>
      </c>
      <c r="E420" s="90">
        <v>53</v>
      </c>
      <c r="F420" s="90" t="s">
        <v>11</v>
      </c>
      <c r="G420" s="90" t="s">
        <v>11</v>
      </c>
      <c r="H420" s="90" t="s">
        <v>10</v>
      </c>
      <c r="I420" s="91">
        <v>43160</v>
      </c>
      <c r="J420" s="90" t="s">
        <v>200</v>
      </c>
      <c r="K420" s="90" t="s">
        <v>201</v>
      </c>
      <c r="L420" s="90" t="s">
        <v>3</v>
      </c>
      <c r="M420" s="90" t="s">
        <v>6</v>
      </c>
      <c r="N420" s="90" t="s">
        <v>120</v>
      </c>
      <c r="O420" s="91">
        <v>45667</v>
      </c>
      <c r="P420" s="91">
        <v>45826</v>
      </c>
      <c r="Q420" s="91">
        <v>45686</v>
      </c>
      <c r="R420" s="91">
        <v>45688</v>
      </c>
      <c r="S420" s="91">
        <v>45688</v>
      </c>
      <c r="T420" s="91">
        <v>45838</v>
      </c>
      <c r="U420" s="90" t="s">
        <v>320</v>
      </c>
      <c r="V420" s="90" t="s">
        <v>224</v>
      </c>
      <c r="W420" s="90">
        <v>1</v>
      </c>
      <c r="X420" s="90" t="s">
        <v>228</v>
      </c>
      <c r="Y420" s="91">
        <v>45658</v>
      </c>
      <c r="Z420" s="91">
        <v>45838</v>
      </c>
      <c r="AA420" s="88"/>
      <c r="AB420" s="88"/>
      <c r="AC420" s="92">
        <v>45866.663194444445</v>
      </c>
    </row>
    <row r="421" spans="1:29" customFormat="1" ht="16" x14ac:dyDescent="0.2">
      <c r="A421" s="90" t="s">
        <v>0</v>
      </c>
      <c r="B421" s="90" t="s">
        <v>800</v>
      </c>
      <c r="C421" s="90" t="s">
        <v>801</v>
      </c>
      <c r="D421" s="91">
        <v>23796</v>
      </c>
      <c r="E421" s="90">
        <v>60</v>
      </c>
      <c r="F421" s="90" t="s">
        <v>11</v>
      </c>
      <c r="G421" s="90" t="s">
        <v>11</v>
      </c>
      <c r="H421" s="90" t="s">
        <v>10</v>
      </c>
      <c r="I421" s="91">
        <v>39965</v>
      </c>
      <c r="J421" s="90" t="s">
        <v>427</v>
      </c>
      <c r="K421" s="90" t="s">
        <v>428</v>
      </c>
      <c r="L421" s="90" t="s">
        <v>7</v>
      </c>
      <c r="M421" s="90" t="s">
        <v>6</v>
      </c>
      <c r="N421" s="90" t="s">
        <v>119</v>
      </c>
      <c r="O421" s="91">
        <v>45667</v>
      </c>
      <c r="P421" s="91">
        <v>45674</v>
      </c>
      <c r="Q421" s="91">
        <v>45702</v>
      </c>
      <c r="R421" s="91">
        <v>45711</v>
      </c>
      <c r="S421" s="91">
        <v>45702</v>
      </c>
      <c r="T421" s="91">
        <v>45855</v>
      </c>
      <c r="U421" s="90" t="s">
        <v>319</v>
      </c>
      <c r="V421" s="90" t="s">
        <v>224</v>
      </c>
      <c r="W421" s="90">
        <v>2</v>
      </c>
      <c r="X421" s="90" t="s">
        <v>708</v>
      </c>
      <c r="Y421" s="91">
        <v>45689</v>
      </c>
      <c r="Z421" s="91">
        <v>45869</v>
      </c>
      <c r="AA421" s="88"/>
      <c r="AB421" s="88"/>
      <c r="AC421" s="92">
        <v>45855.714583333334</v>
      </c>
    </row>
    <row r="422" spans="1:29" customFormat="1" ht="16" x14ac:dyDescent="0.2">
      <c r="A422" s="90" t="s">
        <v>0</v>
      </c>
      <c r="B422" s="90" t="s">
        <v>488</v>
      </c>
      <c r="C422" s="90" t="s">
        <v>181</v>
      </c>
      <c r="D422" s="91">
        <v>28400</v>
      </c>
      <c r="E422" s="90">
        <v>48</v>
      </c>
      <c r="F422" s="90" t="s">
        <v>11</v>
      </c>
      <c r="G422" s="90" t="s">
        <v>11</v>
      </c>
      <c r="H422" s="90" t="s">
        <v>10</v>
      </c>
      <c r="I422" s="91">
        <v>45597</v>
      </c>
      <c r="J422" s="90" t="s">
        <v>541</v>
      </c>
      <c r="K422" s="90" t="s">
        <v>542</v>
      </c>
      <c r="L422" s="90" t="s">
        <v>7</v>
      </c>
      <c r="M422" s="90" t="s">
        <v>6</v>
      </c>
      <c r="N422" s="88"/>
      <c r="O422" s="91">
        <v>45667</v>
      </c>
      <c r="P422" s="91">
        <v>45674</v>
      </c>
      <c r="Q422" s="91">
        <v>45684</v>
      </c>
      <c r="R422" s="91">
        <v>45702</v>
      </c>
      <c r="S422" s="91">
        <v>45702</v>
      </c>
      <c r="T422" s="91">
        <v>45702</v>
      </c>
      <c r="U422" s="90" t="s">
        <v>712</v>
      </c>
      <c r="V422" s="90" t="s">
        <v>224</v>
      </c>
      <c r="W422" s="90">
        <v>1</v>
      </c>
      <c r="X422" s="90" t="s">
        <v>228</v>
      </c>
      <c r="Y422" s="88"/>
      <c r="Z422" s="88"/>
      <c r="AA422" s="88"/>
      <c r="AB422" s="88"/>
      <c r="AC422" s="92">
        <v>45720.585416666669</v>
      </c>
    </row>
    <row r="423" spans="1:29" customFormat="1" ht="16" x14ac:dyDescent="0.2">
      <c r="A423" s="90" t="s">
        <v>1</v>
      </c>
      <c r="B423" s="90" t="s">
        <v>231</v>
      </c>
      <c r="C423" s="90" t="s">
        <v>803</v>
      </c>
      <c r="D423" s="91">
        <v>24603</v>
      </c>
      <c r="E423" s="90">
        <v>58</v>
      </c>
      <c r="F423" s="90" t="s">
        <v>10</v>
      </c>
      <c r="G423" s="90" t="s">
        <v>10</v>
      </c>
      <c r="H423" s="90" t="s">
        <v>10</v>
      </c>
      <c r="I423" s="91">
        <v>43405</v>
      </c>
      <c r="J423" s="90" t="s">
        <v>126</v>
      </c>
      <c r="K423" s="90" t="s">
        <v>265</v>
      </c>
      <c r="L423" s="90" t="s">
        <v>5</v>
      </c>
      <c r="M423" s="90" t="s">
        <v>6</v>
      </c>
      <c r="N423" s="90" t="s">
        <v>119</v>
      </c>
      <c r="O423" s="91">
        <v>45666</v>
      </c>
      <c r="P423" s="91">
        <v>45667</v>
      </c>
      <c r="Q423" s="91">
        <v>45671</v>
      </c>
      <c r="R423" s="91">
        <v>45699</v>
      </c>
      <c r="S423" s="91">
        <v>45699</v>
      </c>
      <c r="T423" s="91">
        <v>45915</v>
      </c>
      <c r="U423" s="90" t="s">
        <v>319</v>
      </c>
      <c r="V423" s="90" t="s">
        <v>224</v>
      </c>
      <c r="W423" s="90">
        <v>2</v>
      </c>
      <c r="X423" s="90" t="s">
        <v>228</v>
      </c>
      <c r="Y423" s="91">
        <v>45689</v>
      </c>
      <c r="Z423" s="91">
        <v>45869</v>
      </c>
      <c r="AA423" s="88"/>
      <c r="AB423" s="88"/>
      <c r="AC423" s="92">
        <v>45920.447222222225</v>
      </c>
    </row>
    <row r="424" spans="1:29" customFormat="1" ht="16" x14ac:dyDescent="0.2">
      <c r="A424" s="90" t="s">
        <v>1</v>
      </c>
      <c r="B424" s="90" t="s">
        <v>804</v>
      </c>
      <c r="C424" s="90" t="s">
        <v>370</v>
      </c>
      <c r="D424" s="91">
        <v>35028</v>
      </c>
      <c r="E424" s="90">
        <v>30</v>
      </c>
      <c r="F424" s="90" t="s">
        <v>11</v>
      </c>
      <c r="G424" s="90" t="s">
        <v>11</v>
      </c>
      <c r="H424" s="90" t="s">
        <v>10</v>
      </c>
      <c r="I424" s="91">
        <v>45383</v>
      </c>
      <c r="J424" s="90" t="s">
        <v>159</v>
      </c>
      <c r="K424" s="90" t="s">
        <v>160</v>
      </c>
      <c r="L424" s="90" t="s">
        <v>5</v>
      </c>
      <c r="M424" s="90" t="s">
        <v>6</v>
      </c>
      <c r="N424" s="90" t="s">
        <v>226</v>
      </c>
      <c r="O424" s="91">
        <v>45666</v>
      </c>
      <c r="P424" s="91">
        <v>45666</v>
      </c>
      <c r="Q424" s="91">
        <v>45671</v>
      </c>
      <c r="R424" s="91">
        <v>45686</v>
      </c>
      <c r="S424" s="91">
        <v>45686</v>
      </c>
      <c r="T424" s="91">
        <v>45874</v>
      </c>
      <c r="U424" s="90" t="s">
        <v>216</v>
      </c>
      <c r="V424" s="90" t="s">
        <v>224</v>
      </c>
      <c r="W424" s="90">
        <v>2</v>
      </c>
      <c r="X424" s="90" t="s">
        <v>228</v>
      </c>
      <c r="Y424" s="91">
        <v>45658</v>
      </c>
      <c r="Z424" s="91">
        <v>45838</v>
      </c>
      <c r="AA424" s="88"/>
      <c r="AB424" s="88"/>
      <c r="AC424" s="92">
        <v>45874.631249999999</v>
      </c>
    </row>
    <row r="425" spans="1:29" customFormat="1" ht="16" x14ac:dyDescent="0.2">
      <c r="A425" s="90" t="s">
        <v>0</v>
      </c>
      <c r="B425" s="90" t="s">
        <v>805</v>
      </c>
      <c r="C425" s="90" t="s">
        <v>567</v>
      </c>
      <c r="D425" s="91">
        <v>35150</v>
      </c>
      <c r="E425" s="90">
        <v>29</v>
      </c>
      <c r="F425" s="90" t="s">
        <v>11</v>
      </c>
      <c r="G425" s="88"/>
      <c r="H425" s="90" t="s">
        <v>10</v>
      </c>
      <c r="I425" s="91">
        <v>44835</v>
      </c>
      <c r="J425" s="90" t="s">
        <v>274</v>
      </c>
      <c r="K425" s="90" t="s">
        <v>503</v>
      </c>
      <c r="L425" s="90" t="s">
        <v>7</v>
      </c>
      <c r="M425" s="90" t="s">
        <v>6</v>
      </c>
      <c r="N425" s="90" t="s">
        <v>119</v>
      </c>
      <c r="O425" s="91">
        <v>45666</v>
      </c>
      <c r="P425" s="91">
        <v>45666</v>
      </c>
      <c r="Q425" s="91">
        <v>45667</v>
      </c>
      <c r="R425" s="91">
        <v>45673</v>
      </c>
      <c r="S425" s="91">
        <v>45691</v>
      </c>
      <c r="T425" s="91">
        <v>45929</v>
      </c>
      <c r="U425" s="90" t="s">
        <v>319</v>
      </c>
      <c r="V425" s="90" t="s">
        <v>224</v>
      </c>
      <c r="W425" s="90">
        <v>3</v>
      </c>
      <c r="X425" s="90" t="s">
        <v>228</v>
      </c>
      <c r="Y425" s="91">
        <v>45658</v>
      </c>
      <c r="Z425" s="91">
        <v>45838</v>
      </c>
      <c r="AA425" s="91">
        <v>45839</v>
      </c>
      <c r="AB425" s="91">
        <v>45930</v>
      </c>
      <c r="AC425" s="92">
        <v>45921.461111111108</v>
      </c>
    </row>
    <row r="426" spans="1:29" customFormat="1" ht="16" x14ac:dyDescent="0.2">
      <c r="A426" s="90" t="s">
        <v>1</v>
      </c>
      <c r="B426" s="90" t="s">
        <v>351</v>
      </c>
      <c r="C426" s="90" t="s">
        <v>941</v>
      </c>
      <c r="D426" s="91">
        <v>25352</v>
      </c>
      <c r="E426" s="90">
        <v>56</v>
      </c>
      <c r="F426" s="90" t="s">
        <v>11</v>
      </c>
      <c r="G426" s="90" t="s">
        <v>10</v>
      </c>
      <c r="H426" s="90" t="s">
        <v>10</v>
      </c>
      <c r="I426" s="91">
        <v>40118</v>
      </c>
      <c r="J426" s="90" t="s">
        <v>734</v>
      </c>
      <c r="K426" s="90" t="s">
        <v>735</v>
      </c>
      <c r="L426" s="90" t="s">
        <v>4</v>
      </c>
      <c r="M426" s="90" t="s">
        <v>6</v>
      </c>
      <c r="N426" s="90" t="s">
        <v>119</v>
      </c>
      <c r="O426" s="91">
        <v>45665</v>
      </c>
      <c r="P426" s="91">
        <v>45672</v>
      </c>
      <c r="Q426" s="91">
        <v>45686</v>
      </c>
      <c r="R426" s="91">
        <v>45715</v>
      </c>
      <c r="S426" s="91">
        <v>45715</v>
      </c>
      <c r="T426" s="91">
        <v>45937</v>
      </c>
      <c r="U426" s="90" t="s">
        <v>214</v>
      </c>
      <c r="V426" s="90" t="s">
        <v>224</v>
      </c>
      <c r="W426" s="90">
        <v>1</v>
      </c>
      <c r="X426" s="90" t="s">
        <v>228</v>
      </c>
      <c r="Y426" s="91">
        <v>45689</v>
      </c>
      <c r="Z426" s="91">
        <v>45869</v>
      </c>
      <c r="AA426" s="91">
        <v>45870</v>
      </c>
      <c r="AB426" s="91">
        <v>45961</v>
      </c>
      <c r="AC426" s="92">
        <v>45952.831944444442</v>
      </c>
    </row>
    <row r="427" spans="1:29" customFormat="1" ht="16" x14ac:dyDescent="0.2">
      <c r="A427" s="90" t="s">
        <v>1</v>
      </c>
      <c r="B427" s="90" t="s">
        <v>366</v>
      </c>
      <c r="C427" s="90" t="s">
        <v>367</v>
      </c>
      <c r="D427" s="91">
        <v>26894</v>
      </c>
      <c r="E427" s="90">
        <v>52</v>
      </c>
      <c r="F427" s="90" t="s">
        <v>11</v>
      </c>
      <c r="G427" s="90" t="s">
        <v>10</v>
      </c>
      <c r="H427" s="90" t="s">
        <v>10</v>
      </c>
      <c r="I427" s="91">
        <v>40909</v>
      </c>
      <c r="J427" s="90" t="s">
        <v>280</v>
      </c>
      <c r="K427" s="90" t="s">
        <v>281</v>
      </c>
      <c r="L427" s="90" t="s">
        <v>7</v>
      </c>
      <c r="M427" s="90" t="s">
        <v>6</v>
      </c>
      <c r="N427" s="90" t="s">
        <v>174</v>
      </c>
      <c r="O427" s="91">
        <v>45665</v>
      </c>
      <c r="P427" s="91">
        <v>45666</v>
      </c>
      <c r="Q427" s="91">
        <v>45667</v>
      </c>
      <c r="R427" s="91">
        <v>45701</v>
      </c>
      <c r="S427" s="91">
        <v>45701</v>
      </c>
      <c r="T427" s="91">
        <v>45887</v>
      </c>
      <c r="U427" s="90" t="s">
        <v>216</v>
      </c>
      <c r="V427" s="90" t="s">
        <v>224</v>
      </c>
      <c r="W427" s="90">
        <v>1</v>
      </c>
      <c r="X427" s="90" t="s">
        <v>228</v>
      </c>
      <c r="Y427" s="91">
        <v>45689</v>
      </c>
      <c r="Z427" s="91">
        <v>45869</v>
      </c>
      <c r="AA427" s="88"/>
      <c r="AB427" s="88"/>
      <c r="AC427" s="92">
        <v>45887.613194444442</v>
      </c>
    </row>
    <row r="428" spans="1:29" customFormat="1" ht="16" x14ac:dyDescent="0.2">
      <c r="A428" s="90" t="s">
        <v>1</v>
      </c>
      <c r="B428" s="90" t="s">
        <v>235</v>
      </c>
      <c r="C428" s="90" t="s">
        <v>777</v>
      </c>
      <c r="D428" s="91">
        <v>26574</v>
      </c>
      <c r="E428" s="90">
        <v>53</v>
      </c>
      <c r="F428" s="90" t="s">
        <v>11</v>
      </c>
      <c r="G428" s="90" t="s">
        <v>10</v>
      </c>
      <c r="H428" s="90" t="s">
        <v>10</v>
      </c>
      <c r="I428" s="91">
        <v>44013</v>
      </c>
      <c r="J428" s="90" t="s">
        <v>734</v>
      </c>
      <c r="K428" s="90" t="s">
        <v>735</v>
      </c>
      <c r="L428" s="90" t="s">
        <v>4</v>
      </c>
      <c r="M428" s="90" t="s">
        <v>6</v>
      </c>
      <c r="N428" s="90" t="s">
        <v>119</v>
      </c>
      <c r="O428" s="91">
        <v>45664</v>
      </c>
      <c r="P428" s="91">
        <v>45665</v>
      </c>
      <c r="Q428" s="91">
        <v>45665</v>
      </c>
      <c r="R428" s="91">
        <v>45680</v>
      </c>
      <c r="S428" s="91">
        <v>45680</v>
      </c>
      <c r="T428" s="91">
        <v>45873</v>
      </c>
      <c r="U428" s="90" t="s">
        <v>320</v>
      </c>
      <c r="V428" s="90" t="s">
        <v>224</v>
      </c>
      <c r="W428" s="90">
        <v>2</v>
      </c>
      <c r="X428" s="90" t="s">
        <v>228</v>
      </c>
      <c r="Y428" s="91">
        <v>45658</v>
      </c>
      <c r="Z428" s="91">
        <v>45839</v>
      </c>
      <c r="AA428" s="91">
        <v>45839</v>
      </c>
      <c r="AB428" s="91">
        <v>45930</v>
      </c>
      <c r="AC428" s="92">
        <v>45873.655555555553</v>
      </c>
    </row>
    <row r="429" spans="1:29" customFormat="1" ht="16" x14ac:dyDescent="0.2">
      <c r="A429" s="90" t="s">
        <v>0</v>
      </c>
      <c r="B429" s="90" t="s">
        <v>778</v>
      </c>
      <c r="C429" s="90" t="s">
        <v>113</v>
      </c>
      <c r="D429" s="91">
        <v>26834</v>
      </c>
      <c r="E429" s="90">
        <v>52</v>
      </c>
      <c r="F429" s="90" t="s">
        <v>10</v>
      </c>
      <c r="G429" s="90" t="s">
        <v>10</v>
      </c>
      <c r="H429" s="90" t="s">
        <v>10</v>
      </c>
      <c r="I429" s="91">
        <v>44166</v>
      </c>
      <c r="J429" s="90" t="s">
        <v>734</v>
      </c>
      <c r="K429" s="90" t="s">
        <v>735</v>
      </c>
      <c r="L429" s="90" t="s">
        <v>4</v>
      </c>
      <c r="M429" s="90" t="s">
        <v>6</v>
      </c>
      <c r="N429" s="90" t="s">
        <v>119</v>
      </c>
      <c r="O429" s="91">
        <v>45664</v>
      </c>
      <c r="P429" s="91">
        <v>45665</v>
      </c>
      <c r="Q429" s="91">
        <v>45665</v>
      </c>
      <c r="R429" s="91">
        <v>45680</v>
      </c>
      <c r="S429" s="91">
        <v>45680</v>
      </c>
      <c r="T429" s="91">
        <v>45920</v>
      </c>
      <c r="U429" s="90" t="s">
        <v>319</v>
      </c>
      <c r="V429" s="90" t="s">
        <v>224</v>
      </c>
      <c r="W429" s="90">
        <v>4</v>
      </c>
      <c r="X429" s="90" t="s">
        <v>228</v>
      </c>
      <c r="Y429" s="91">
        <v>45658</v>
      </c>
      <c r="Z429" s="91">
        <v>45838</v>
      </c>
      <c r="AA429" s="91">
        <v>45839</v>
      </c>
      <c r="AB429" s="91">
        <v>45930</v>
      </c>
      <c r="AC429" s="92">
        <v>45920.482638888891</v>
      </c>
    </row>
    <row r="430" spans="1:29" customFormat="1" ht="16" x14ac:dyDescent="0.2">
      <c r="A430" s="90" t="s">
        <v>1</v>
      </c>
      <c r="B430" s="90" t="s">
        <v>779</v>
      </c>
      <c r="C430" s="90" t="s">
        <v>780</v>
      </c>
      <c r="D430" s="91">
        <v>33828</v>
      </c>
      <c r="E430" s="90">
        <v>33</v>
      </c>
      <c r="F430" s="90" t="s">
        <v>11</v>
      </c>
      <c r="G430" s="90" t="s">
        <v>11</v>
      </c>
      <c r="H430" s="90" t="s">
        <v>10</v>
      </c>
      <c r="I430" s="91">
        <v>44470</v>
      </c>
      <c r="J430" s="90" t="s">
        <v>110</v>
      </c>
      <c r="K430" s="90" t="s">
        <v>111</v>
      </c>
      <c r="L430" s="90" t="s">
        <v>3</v>
      </c>
      <c r="M430" s="90" t="s">
        <v>6</v>
      </c>
      <c r="N430" s="90" t="s">
        <v>124</v>
      </c>
      <c r="O430" s="91">
        <v>45664</v>
      </c>
      <c r="P430" s="91">
        <v>45666</v>
      </c>
      <c r="Q430" s="91">
        <v>45673</v>
      </c>
      <c r="R430" s="91">
        <v>45686</v>
      </c>
      <c r="S430" s="91">
        <v>45686</v>
      </c>
      <c r="T430" s="91">
        <v>45770</v>
      </c>
      <c r="U430" s="90" t="s">
        <v>218</v>
      </c>
      <c r="V430" s="90" t="s">
        <v>224</v>
      </c>
      <c r="W430" s="90">
        <v>1</v>
      </c>
      <c r="X430" s="90" t="s">
        <v>118</v>
      </c>
      <c r="Y430" s="91">
        <v>45658</v>
      </c>
      <c r="Z430" s="91">
        <v>45747</v>
      </c>
      <c r="AA430" s="88"/>
      <c r="AB430" s="88"/>
      <c r="AC430" s="92">
        <v>45770.708333333336</v>
      </c>
    </row>
    <row r="431" spans="1:29" customFormat="1" ht="16" x14ac:dyDescent="0.2">
      <c r="A431" s="90" t="s">
        <v>1</v>
      </c>
      <c r="B431" s="90" t="s">
        <v>283</v>
      </c>
      <c r="C431" s="90" t="s">
        <v>284</v>
      </c>
      <c r="D431" s="91">
        <v>27627</v>
      </c>
      <c r="E431" s="90">
        <v>50</v>
      </c>
      <c r="F431" s="90" t="s">
        <v>11</v>
      </c>
      <c r="G431" s="90" t="s">
        <v>10</v>
      </c>
      <c r="H431" s="90" t="s">
        <v>10</v>
      </c>
      <c r="I431" s="91">
        <v>39965</v>
      </c>
      <c r="J431" s="90" t="s">
        <v>35</v>
      </c>
      <c r="K431" s="90" t="s">
        <v>781</v>
      </c>
      <c r="L431" s="90" t="s">
        <v>4</v>
      </c>
      <c r="M431" s="90" t="s">
        <v>6</v>
      </c>
      <c r="N431" s="90" t="s">
        <v>119</v>
      </c>
      <c r="O431" s="91">
        <v>45664</v>
      </c>
      <c r="P431" s="91">
        <v>45664</v>
      </c>
      <c r="Q431" s="91">
        <v>45664</v>
      </c>
      <c r="R431" s="91">
        <v>45677</v>
      </c>
      <c r="S431" s="91">
        <v>45677</v>
      </c>
      <c r="T431" s="91">
        <v>45920</v>
      </c>
      <c r="U431" s="90" t="s">
        <v>214</v>
      </c>
      <c r="V431" s="90" t="s">
        <v>224</v>
      </c>
      <c r="W431" s="90">
        <v>7</v>
      </c>
      <c r="X431" s="90" t="s">
        <v>228</v>
      </c>
      <c r="Y431" s="91">
        <v>45658</v>
      </c>
      <c r="Z431" s="91">
        <v>45838</v>
      </c>
      <c r="AA431" s="88"/>
      <c r="AB431" s="88"/>
      <c r="AC431" s="92">
        <v>45920.65</v>
      </c>
    </row>
    <row r="432" spans="1:29" customFormat="1" ht="16" x14ac:dyDescent="0.2">
      <c r="A432" s="90" t="s">
        <v>0</v>
      </c>
      <c r="B432" s="90" t="s">
        <v>782</v>
      </c>
      <c r="C432" s="90" t="s">
        <v>285</v>
      </c>
      <c r="D432" s="91">
        <v>35230</v>
      </c>
      <c r="E432" s="90">
        <v>29</v>
      </c>
      <c r="F432" s="90" t="s">
        <v>11</v>
      </c>
      <c r="G432" s="90" t="s">
        <v>11</v>
      </c>
      <c r="H432" s="90" t="s">
        <v>10</v>
      </c>
      <c r="I432" s="91">
        <v>45658</v>
      </c>
      <c r="J432" s="90" t="s">
        <v>351</v>
      </c>
      <c r="K432" s="90" t="s">
        <v>128</v>
      </c>
      <c r="L432" s="90" t="s">
        <v>7</v>
      </c>
      <c r="M432" s="90" t="s">
        <v>6</v>
      </c>
      <c r="N432" s="88"/>
      <c r="O432" s="91">
        <v>45664</v>
      </c>
      <c r="P432" s="91">
        <v>45664</v>
      </c>
      <c r="Q432" s="91">
        <v>45666</v>
      </c>
      <c r="R432" s="91">
        <v>45688</v>
      </c>
      <c r="S432" s="91">
        <v>45706</v>
      </c>
      <c r="T432" s="91">
        <v>45869</v>
      </c>
      <c r="U432" s="90" t="s">
        <v>216</v>
      </c>
      <c r="V432" s="90" t="s">
        <v>224</v>
      </c>
      <c r="W432" s="90">
        <v>2</v>
      </c>
      <c r="X432" s="90" t="s">
        <v>228</v>
      </c>
      <c r="Y432" s="91">
        <v>45689</v>
      </c>
      <c r="Z432" s="91">
        <v>45869</v>
      </c>
      <c r="AA432" s="88"/>
      <c r="AB432" s="88"/>
      <c r="AC432" s="92">
        <v>45921.42291666667</v>
      </c>
    </row>
    <row r="433" spans="1:29" customFormat="1" ht="16" x14ac:dyDescent="0.2">
      <c r="A433" s="90" t="s">
        <v>1</v>
      </c>
      <c r="B433" s="90" t="s">
        <v>162</v>
      </c>
      <c r="C433" s="90" t="s">
        <v>783</v>
      </c>
      <c r="D433" s="91">
        <v>24798</v>
      </c>
      <c r="E433" s="90">
        <v>58</v>
      </c>
      <c r="F433" s="90" t="s">
        <v>10</v>
      </c>
      <c r="G433" s="90" t="s">
        <v>10</v>
      </c>
      <c r="H433" s="90" t="s">
        <v>10</v>
      </c>
      <c r="I433" s="91">
        <v>39934</v>
      </c>
      <c r="J433" s="90" t="s">
        <v>275</v>
      </c>
      <c r="K433" s="90" t="s">
        <v>115</v>
      </c>
      <c r="L433" s="90" t="s">
        <v>4</v>
      </c>
      <c r="M433" s="90" t="s">
        <v>6</v>
      </c>
      <c r="N433" s="90" t="s">
        <v>119</v>
      </c>
      <c r="O433" s="91">
        <v>45664</v>
      </c>
      <c r="P433" s="91">
        <v>45664</v>
      </c>
      <c r="Q433" s="91">
        <v>45664</v>
      </c>
      <c r="R433" s="91">
        <v>45677</v>
      </c>
      <c r="S433" s="91">
        <v>45677</v>
      </c>
      <c r="T433" s="91">
        <v>45838</v>
      </c>
      <c r="U433" s="90" t="s">
        <v>407</v>
      </c>
      <c r="V433" s="90" t="s">
        <v>224</v>
      </c>
      <c r="W433" s="90">
        <v>5</v>
      </c>
      <c r="X433" s="90" t="s">
        <v>228</v>
      </c>
      <c r="Y433" s="91">
        <v>45658</v>
      </c>
      <c r="Z433" s="91">
        <v>45839</v>
      </c>
      <c r="AA433" s="88"/>
      <c r="AB433" s="88"/>
      <c r="AC433" s="92">
        <v>45838.406944444447</v>
      </c>
    </row>
    <row r="434" spans="1:29" customFormat="1" ht="16" x14ac:dyDescent="0.2">
      <c r="A434" s="90" t="s">
        <v>0</v>
      </c>
      <c r="B434" s="90" t="s">
        <v>573</v>
      </c>
      <c r="C434" s="90" t="s">
        <v>279</v>
      </c>
      <c r="D434" s="91">
        <v>24027</v>
      </c>
      <c r="E434" s="90">
        <v>60</v>
      </c>
      <c r="F434" s="90" t="s">
        <v>11</v>
      </c>
      <c r="G434" s="90" t="s">
        <v>11</v>
      </c>
      <c r="H434" s="90" t="s">
        <v>10</v>
      </c>
      <c r="I434" s="91">
        <v>44440</v>
      </c>
      <c r="J434" s="90" t="s">
        <v>429</v>
      </c>
      <c r="K434" s="90" t="s">
        <v>397</v>
      </c>
      <c r="L434" s="90" t="s">
        <v>7</v>
      </c>
      <c r="M434" s="90" t="s">
        <v>6</v>
      </c>
      <c r="N434" s="90" t="s">
        <v>119</v>
      </c>
      <c r="O434" s="91">
        <v>45663</v>
      </c>
      <c r="P434" s="91">
        <v>45664</v>
      </c>
      <c r="Q434" s="91">
        <v>45666</v>
      </c>
      <c r="R434" s="91">
        <v>45698</v>
      </c>
      <c r="S434" s="91">
        <v>45715</v>
      </c>
      <c r="T434" s="88"/>
      <c r="U434" s="88"/>
      <c r="V434" s="90" t="s">
        <v>32</v>
      </c>
      <c r="W434" s="90">
        <v>6</v>
      </c>
      <c r="X434" s="90" t="s">
        <v>228</v>
      </c>
      <c r="Y434" s="91">
        <v>45689</v>
      </c>
      <c r="Z434" s="91">
        <v>45869</v>
      </c>
      <c r="AA434" s="91">
        <v>45870</v>
      </c>
      <c r="AB434" s="91">
        <v>45991</v>
      </c>
      <c r="AC434" s="92">
        <v>45890.405555555553</v>
      </c>
    </row>
    <row r="435" spans="1:29" customFormat="1" ht="16" x14ac:dyDescent="0.2">
      <c r="A435" s="90" t="s">
        <v>1</v>
      </c>
      <c r="B435" s="90" t="s">
        <v>574</v>
      </c>
      <c r="C435" s="90" t="s">
        <v>806</v>
      </c>
      <c r="D435" s="91">
        <v>24005</v>
      </c>
      <c r="E435" s="90">
        <v>60</v>
      </c>
      <c r="F435" s="90" t="s">
        <v>11</v>
      </c>
      <c r="G435" s="90" t="s">
        <v>10</v>
      </c>
      <c r="H435" s="90" t="s">
        <v>10</v>
      </c>
      <c r="I435" s="91">
        <v>45292</v>
      </c>
      <c r="J435" s="90" t="s">
        <v>772</v>
      </c>
      <c r="K435" s="90" t="s">
        <v>773</v>
      </c>
      <c r="L435" s="90" t="s">
        <v>7</v>
      </c>
      <c r="M435" s="90" t="s">
        <v>6</v>
      </c>
      <c r="N435" s="90" t="s">
        <v>225</v>
      </c>
      <c r="O435" s="91">
        <v>45663</v>
      </c>
      <c r="P435" s="91">
        <v>45664</v>
      </c>
      <c r="Q435" s="91">
        <v>45666</v>
      </c>
      <c r="R435" s="91">
        <v>45701</v>
      </c>
      <c r="S435" s="91">
        <v>45701</v>
      </c>
      <c r="T435" s="91">
        <v>45896</v>
      </c>
      <c r="U435" s="90" t="s">
        <v>216</v>
      </c>
      <c r="V435" s="90" t="s">
        <v>224</v>
      </c>
      <c r="W435" s="90">
        <v>1</v>
      </c>
      <c r="X435" s="90" t="s">
        <v>228</v>
      </c>
      <c r="Y435" s="91">
        <v>45689</v>
      </c>
      <c r="Z435" s="91">
        <v>45869</v>
      </c>
      <c r="AA435" s="88"/>
      <c r="AB435" s="88"/>
      <c r="AC435" s="92">
        <v>45896.511805555558</v>
      </c>
    </row>
    <row r="436" spans="1:29" customFormat="1" ht="16" x14ac:dyDescent="0.2">
      <c r="A436" s="90" t="s">
        <v>1</v>
      </c>
      <c r="B436" s="90" t="s">
        <v>373</v>
      </c>
      <c r="C436" s="90" t="s">
        <v>374</v>
      </c>
      <c r="D436" s="91">
        <v>34435</v>
      </c>
      <c r="E436" s="90">
        <v>31</v>
      </c>
      <c r="F436" s="90" t="s">
        <v>10</v>
      </c>
      <c r="G436" s="90" t="s">
        <v>11</v>
      </c>
      <c r="H436" s="90" t="s">
        <v>10</v>
      </c>
      <c r="I436" s="91">
        <v>43466</v>
      </c>
      <c r="J436" s="90" t="s">
        <v>774</v>
      </c>
      <c r="K436" s="90" t="s">
        <v>432</v>
      </c>
      <c r="L436" s="90" t="s">
        <v>7</v>
      </c>
      <c r="M436" s="90" t="s">
        <v>396</v>
      </c>
      <c r="N436" s="90" t="s">
        <v>120</v>
      </c>
      <c r="O436" s="91">
        <v>45663</v>
      </c>
      <c r="P436" s="91">
        <v>45799</v>
      </c>
      <c r="Q436" s="91">
        <v>45671</v>
      </c>
      <c r="R436" s="91">
        <v>45681</v>
      </c>
      <c r="S436" s="91">
        <v>45688</v>
      </c>
      <c r="T436" s="91">
        <v>45808</v>
      </c>
      <c r="U436" s="90" t="s">
        <v>407</v>
      </c>
      <c r="V436" s="90" t="s">
        <v>224</v>
      </c>
      <c r="W436" s="90">
        <v>2</v>
      </c>
      <c r="X436" s="90" t="s">
        <v>228</v>
      </c>
      <c r="Y436" s="91">
        <v>45658</v>
      </c>
      <c r="Z436" s="91">
        <v>45838</v>
      </c>
      <c r="AA436" s="88"/>
      <c r="AB436" s="88"/>
      <c r="AC436" s="92">
        <v>45814.71597222222</v>
      </c>
    </row>
    <row r="437" spans="1:29" customFormat="1" ht="16" x14ac:dyDescent="0.2">
      <c r="A437" s="90" t="s">
        <v>0</v>
      </c>
      <c r="B437" s="90" t="s">
        <v>507</v>
      </c>
      <c r="C437" s="90" t="s">
        <v>508</v>
      </c>
      <c r="D437" s="91">
        <v>29512</v>
      </c>
      <c r="E437" s="90">
        <v>45</v>
      </c>
      <c r="F437" s="90" t="s">
        <v>10</v>
      </c>
      <c r="G437" s="90" t="s">
        <v>11</v>
      </c>
      <c r="H437" s="90" t="s">
        <v>10</v>
      </c>
      <c r="I437" s="91">
        <v>39965</v>
      </c>
      <c r="J437" s="90" t="s">
        <v>774</v>
      </c>
      <c r="K437" s="90" t="s">
        <v>432</v>
      </c>
      <c r="L437" s="90" t="s">
        <v>7</v>
      </c>
      <c r="M437" s="90" t="s">
        <v>396</v>
      </c>
      <c r="N437" s="90" t="s">
        <v>225</v>
      </c>
      <c r="O437" s="91">
        <v>45663</v>
      </c>
      <c r="P437" s="91">
        <v>45664</v>
      </c>
      <c r="Q437" s="91">
        <v>45666</v>
      </c>
      <c r="R437" s="91">
        <v>45692</v>
      </c>
      <c r="S437" s="91">
        <v>45692</v>
      </c>
      <c r="T437" s="91">
        <v>45874</v>
      </c>
      <c r="U437" s="90" t="s">
        <v>407</v>
      </c>
      <c r="V437" s="90" t="s">
        <v>224</v>
      </c>
      <c r="W437" s="90">
        <v>3</v>
      </c>
      <c r="X437" s="90" t="s">
        <v>228</v>
      </c>
      <c r="Y437" s="91">
        <v>45689</v>
      </c>
      <c r="Z437" s="91">
        <v>45869</v>
      </c>
      <c r="AA437" s="88"/>
      <c r="AB437" s="88"/>
      <c r="AC437" s="92">
        <v>45953.649305555555</v>
      </c>
    </row>
    <row r="438" spans="1:29" customFormat="1" ht="16" x14ac:dyDescent="0.2">
      <c r="A438" s="90" t="s">
        <v>0</v>
      </c>
      <c r="B438" s="90" t="s">
        <v>767</v>
      </c>
      <c r="C438" s="90" t="s">
        <v>768</v>
      </c>
      <c r="D438" s="91">
        <v>32345</v>
      </c>
      <c r="E438" s="90">
        <v>37</v>
      </c>
      <c r="F438" s="90" t="s">
        <v>10</v>
      </c>
      <c r="G438" s="90" t="s">
        <v>11</v>
      </c>
      <c r="H438" s="90" t="s">
        <v>10</v>
      </c>
      <c r="I438" s="91">
        <v>43800</v>
      </c>
      <c r="J438" s="90" t="s">
        <v>273</v>
      </c>
      <c r="K438" s="90" t="s">
        <v>292</v>
      </c>
      <c r="L438" s="90" t="s">
        <v>3</v>
      </c>
      <c r="M438" s="90" t="s">
        <v>6</v>
      </c>
      <c r="N438" s="90" t="s">
        <v>119</v>
      </c>
      <c r="O438" s="91">
        <v>45660</v>
      </c>
      <c r="P438" s="91">
        <v>45663</v>
      </c>
      <c r="Q438" s="91">
        <v>45700</v>
      </c>
      <c r="R438" s="91">
        <v>45722</v>
      </c>
      <c r="S438" s="91">
        <v>45722</v>
      </c>
      <c r="T438" s="91">
        <v>45894</v>
      </c>
      <c r="U438" s="90" t="s">
        <v>407</v>
      </c>
      <c r="V438" s="90" t="s">
        <v>224</v>
      </c>
      <c r="W438" s="90">
        <v>1</v>
      </c>
      <c r="X438" s="90" t="s">
        <v>118</v>
      </c>
      <c r="Y438" s="91">
        <v>45717</v>
      </c>
      <c r="Z438" s="91">
        <v>45869</v>
      </c>
      <c r="AA438" s="91">
        <v>45870</v>
      </c>
      <c r="AB438" s="91">
        <v>45900</v>
      </c>
      <c r="AC438" s="92">
        <v>45894.664583333331</v>
      </c>
    </row>
    <row r="439" spans="1:29" customFormat="1" ht="16" x14ac:dyDescent="0.2">
      <c r="A439" s="90" t="s">
        <v>0</v>
      </c>
      <c r="B439" s="90" t="s">
        <v>307</v>
      </c>
      <c r="C439" s="90" t="s">
        <v>769</v>
      </c>
      <c r="D439" s="91">
        <v>25304</v>
      </c>
      <c r="E439" s="90">
        <v>56</v>
      </c>
      <c r="F439" s="90" t="s">
        <v>11</v>
      </c>
      <c r="G439" s="90" t="s">
        <v>10</v>
      </c>
      <c r="H439" s="90" t="s">
        <v>10</v>
      </c>
      <c r="I439" s="91">
        <v>43344</v>
      </c>
      <c r="J439" s="90" t="s">
        <v>234</v>
      </c>
      <c r="K439" s="90" t="s">
        <v>354</v>
      </c>
      <c r="L439" s="90" t="s">
        <v>7</v>
      </c>
      <c r="M439" s="90" t="s">
        <v>6</v>
      </c>
      <c r="N439" s="90" t="s">
        <v>117</v>
      </c>
      <c r="O439" s="91">
        <v>45657</v>
      </c>
      <c r="P439" s="91">
        <v>45664</v>
      </c>
      <c r="Q439" s="91">
        <v>45671</v>
      </c>
      <c r="R439" s="91">
        <v>45688</v>
      </c>
      <c r="S439" s="91">
        <v>45688</v>
      </c>
      <c r="T439" s="88"/>
      <c r="U439" s="88"/>
      <c r="V439" s="90" t="s">
        <v>32</v>
      </c>
      <c r="W439" s="90">
        <v>6</v>
      </c>
      <c r="X439" s="90" t="s">
        <v>228</v>
      </c>
      <c r="Y439" s="91">
        <v>45658</v>
      </c>
      <c r="Z439" s="91">
        <v>45838</v>
      </c>
      <c r="AA439" s="91">
        <v>45839</v>
      </c>
      <c r="AB439" s="91">
        <v>46022</v>
      </c>
      <c r="AC439" s="92">
        <v>45897.669444444444</v>
      </c>
    </row>
    <row r="440" spans="1:29" customFormat="1" ht="16" x14ac:dyDescent="0.2">
      <c r="A440" s="90" t="s">
        <v>0</v>
      </c>
      <c r="B440" s="90" t="s">
        <v>449</v>
      </c>
      <c r="C440" s="90" t="s">
        <v>450</v>
      </c>
      <c r="D440" s="91">
        <v>31570</v>
      </c>
      <c r="E440" s="90">
        <v>39</v>
      </c>
      <c r="F440" s="90" t="s">
        <v>11</v>
      </c>
      <c r="G440" s="90" t="s">
        <v>11</v>
      </c>
      <c r="H440" s="90" t="s">
        <v>10</v>
      </c>
      <c r="I440" s="91">
        <v>40878</v>
      </c>
      <c r="J440" s="90" t="s">
        <v>451</v>
      </c>
      <c r="K440" s="90" t="s">
        <v>452</v>
      </c>
      <c r="L440" s="90" t="s">
        <v>3</v>
      </c>
      <c r="M440" s="90" t="s">
        <v>6</v>
      </c>
      <c r="N440" s="90" t="s">
        <v>119</v>
      </c>
      <c r="O440" s="91">
        <v>45657</v>
      </c>
      <c r="P440" s="91">
        <v>45659</v>
      </c>
      <c r="Q440" s="91">
        <v>45681</v>
      </c>
      <c r="R440" s="91">
        <v>45698</v>
      </c>
      <c r="S440" s="91">
        <v>45698</v>
      </c>
      <c r="T440" s="91">
        <v>45777</v>
      </c>
      <c r="U440" s="90" t="s">
        <v>60</v>
      </c>
      <c r="V440" s="90" t="s">
        <v>224</v>
      </c>
      <c r="W440" s="90">
        <v>1</v>
      </c>
      <c r="X440" s="90" t="s">
        <v>118</v>
      </c>
      <c r="Y440" s="91">
        <v>45689</v>
      </c>
      <c r="Z440" s="91">
        <v>45838</v>
      </c>
      <c r="AA440" s="88"/>
      <c r="AB440" s="88"/>
      <c r="AC440" s="92">
        <v>45921.42083333333</v>
      </c>
    </row>
    <row r="441" spans="1:29" customFormat="1" ht="16" x14ac:dyDescent="0.2">
      <c r="A441" s="90" t="s">
        <v>1</v>
      </c>
      <c r="B441" s="90" t="s">
        <v>289</v>
      </c>
      <c r="C441" s="90" t="s">
        <v>770</v>
      </c>
      <c r="D441" s="91">
        <v>36095</v>
      </c>
      <c r="E441" s="90">
        <v>27</v>
      </c>
      <c r="F441" s="90" t="s">
        <v>10</v>
      </c>
      <c r="G441" s="90" t="s">
        <v>10</v>
      </c>
      <c r="H441" s="90" t="s">
        <v>10</v>
      </c>
      <c r="I441" s="91">
        <v>45200</v>
      </c>
      <c r="J441" s="90" t="s">
        <v>347</v>
      </c>
      <c r="K441" s="90" t="s">
        <v>348</v>
      </c>
      <c r="L441" s="90" t="s">
        <v>4</v>
      </c>
      <c r="M441" s="90" t="s">
        <v>6</v>
      </c>
      <c r="N441" s="90" t="s">
        <v>119</v>
      </c>
      <c r="O441" s="91">
        <v>45656</v>
      </c>
      <c r="P441" s="91">
        <v>45664</v>
      </c>
      <c r="Q441" s="91">
        <v>45665</v>
      </c>
      <c r="R441" s="91">
        <v>45677</v>
      </c>
      <c r="S441" s="91">
        <v>45677</v>
      </c>
      <c r="T441" s="91">
        <v>45874</v>
      </c>
      <c r="U441" s="90" t="s">
        <v>95</v>
      </c>
      <c r="V441" s="90" t="s">
        <v>224</v>
      </c>
      <c r="W441" s="90">
        <v>7</v>
      </c>
      <c r="X441" s="90" t="s">
        <v>228</v>
      </c>
      <c r="Y441" s="91">
        <v>45658</v>
      </c>
      <c r="Z441" s="91">
        <v>45839</v>
      </c>
      <c r="AA441" s="91">
        <v>45839</v>
      </c>
      <c r="AB441" s="91">
        <v>45868</v>
      </c>
      <c r="AC441" s="92">
        <v>45874.609722222223</v>
      </c>
    </row>
    <row r="442" spans="1:29" customFormat="1" ht="16" x14ac:dyDescent="0.2">
      <c r="A442" s="90" t="s">
        <v>0</v>
      </c>
      <c r="B442" s="90" t="s">
        <v>986</v>
      </c>
      <c r="C442" s="90" t="s">
        <v>828</v>
      </c>
      <c r="D442" s="91">
        <v>24473</v>
      </c>
      <c r="E442" s="90">
        <v>58</v>
      </c>
      <c r="F442" s="90" t="s">
        <v>11</v>
      </c>
      <c r="G442" s="90" t="s">
        <v>11</v>
      </c>
      <c r="H442" s="90" t="s">
        <v>10</v>
      </c>
      <c r="I442" s="88"/>
      <c r="J442" s="90" t="s">
        <v>427</v>
      </c>
      <c r="K442" s="90" t="s">
        <v>428</v>
      </c>
      <c r="L442" s="90" t="s">
        <v>7</v>
      </c>
      <c r="M442" s="90" t="s">
        <v>6</v>
      </c>
      <c r="N442" s="88"/>
      <c r="O442" s="91">
        <v>45653</v>
      </c>
      <c r="P442" s="91">
        <v>45656</v>
      </c>
      <c r="Q442" s="91">
        <v>45660</v>
      </c>
      <c r="R442" s="91">
        <v>45701</v>
      </c>
      <c r="S442" s="91">
        <v>45701</v>
      </c>
      <c r="T442" s="91">
        <v>45895</v>
      </c>
      <c r="U442" s="90" t="s">
        <v>216</v>
      </c>
      <c r="V442" s="90" t="s">
        <v>224</v>
      </c>
      <c r="W442" s="90">
        <v>1</v>
      </c>
      <c r="X442" s="90" t="s">
        <v>228</v>
      </c>
      <c r="Y442" s="91">
        <v>45689</v>
      </c>
      <c r="Z442" s="91">
        <v>45869</v>
      </c>
      <c r="AA442" s="88"/>
      <c r="AB442" s="88"/>
      <c r="AC442" s="92">
        <v>45952.831944444442</v>
      </c>
    </row>
    <row r="443" spans="1:29" customFormat="1" ht="16" x14ac:dyDescent="0.2">
      <c r="A443" s="90" t="s">
        <v>1</v>
      </c>
      <c r="B443" s="90" t="s">
        <v>315</v>
      </c>
      <c r="C443" s="90" t="s">
        <v>771</v>
      </c>
      <c r="D443" s="91">
        <v>33199</v>
      </c>
      <c r="E443" s="90">
        <v>35</v>
      </c>
      <c r="F443" s="90" t="s">
        <v>11</v>
      </c>
      <c r="G443" s="90" t="s">
        <v>10</v>
      </c>
      <c r="H443" s="90" t="s">
        <v>10</v>
      </c>
      <c r="I443" s="91">
        <v>45566</v>
      </c>
      <c r="J443" s="90" t="s">
        <v>275</v>
      </c>
      <c r="K443" s="90" t="s">
        <v>115</v>
      </c>
      <c r="L443" s="90" t="s">
        <v>4</v>
      </c>
      <c r="M443" s="90" t="s">
        <v>6</v>
      </c>
      <c r="N443" s="90" t="s">
        <v>120</v>
      </c>
      <c r="O443" s="91">
        <v>45652</v>
      </c>
      <c r="P443" s="91">
        <v>45664</v>
      </c>
      <c r="Q443" s="91">
        <v>45664</v>
      </c>
      <c r="R443" s="91">
        <v>45677</v>
      </c>
      <c r="S443" s="91">
        <v>45691</v>
      </c>
      <c r="T443" s="91">
        <v>45756</v>
      </c>
      <c r="U443" s="90" t="s">
        <v>407</v>
      </c>
      <c r="V443" s="90" t="s">
        <v>224</v>
      </c>
      <c r="W443" s="90">
        <v>3</v>
      </c>
      <c r="X443" s="90" t="s">
        <v>228</v>
      </c>
      <c r="Y443" s="91">
        <v>45691</v>
      </c>
      <c r="Z443" s="91">
        <v>45871</v>
      </c>
      <c r="AA443" s="88"/>
      <c r="AB443" s="88"/>
      <c r="AC443" s="92">
        <v>45776.740972222222</v>
      </c>
    </row>
    <row r="444" spans="1:29" customFormat="1" ht="16" x14ac:dyDescent="0.2">
      <c r="A444" s="90" t="s">
        <v>1</v>
      </c>
      <c r="B444" s="90" t="s">
        <v>167</v>
      </c>
      <c r="C444" s="90" t="s">
        <v>766</v>
      </c>
      <c r="D444" s="91">
        <v>31424</v>
      </c>
      <c r="E444" s="90">
        <v>39</v>
      </c>
      <c r="F444" s="90" t="s">
        <v>11</v>
      </c>
      <c r="G444" s="90" t="s">
        <v>10</v>
      </c>
      <c r="H444" s="90" t="s">
        <v>10</v>
      </c>
      <c r="I444" s="91">
        <v>45323</v>
      </c>
      <c r="J444" s="90" t="s">
        <v>185</v>
      </c>
      <c r="K444" s="90" t="s">
        <v>186</v>
      </c>
      <c r="L444" s="90" t="s">
        <v>3</v>
      </c>
      <c r="M444" s="90" t="s">
        <v>6</v>
      </c>
      <c r="N444" s="90" t="s">
        <v>120</v>
      </c>
      <c r="O444" s="91">
        <v>45649</v>
      </c>
      <c r="P444" s="91">
        <v>45650</v>
      </c>
      <c r="Q444" s="91">
        <v>45667</v>
      </c>
      <c r="R444" s="91">
        <v>45671</v>
      </c>
      <c r="S444" s="91">
        <v>45671</v>
      </c>
      <c r="T444" s="91">
        <v>45860</v>
      </c>
      <c r="U444" s="90" t="s">
        <v>319</v>
      </c>
      <c r="V444" s="90" t="s">
        <v>224</v>
      </c>
      <c r="W444" s="90">
        <v>1</v>
      </c>
      <c r="X444" s="90" t="s">
        <v>228</v>
      </c>
      <c r="Y444" s="91">
        <v>45658</v>
      </c>
      <c r="Z444" s="91">
        <v>45839</v>
      </c>
      <c r="AA444" s="88"/>
      <c r="AB444" s="88"/>
      <c r="AC444" s="92">
        <v>45874.418055555558</v>
      </c>
    </row>
    <row r="445" spans="1:29" customFormat="1" ht="16" x14ac:dyDescent="0.2">
      <c r="A445" s="90" t="s">
        <v>1</v>
      </c>
      <c r="B445" s="90" t="s">
        <v>758</v>
      </c>
      <c r="C445" s="90" t="s">
        <v>759</v>
      </c>
      <c r="D445" s="91">
        <v>31250</v>
      </c>
      <c r="E445" s="90">
        <v>40</v>
      </c>
      <c r="F445" s="90" t="s">
        <v>11</v>
      </c>
      <c r="G445" s="90" t="s">
        <v>11</v>
      </c>
      <c r="H445" s="90" t="s">
        <v>10</v>
      </c>
      <c r="I445" s="91">
        <v>45566</v>
      </c>
      <c r="J445" s="90" t="s">
        <v>161</v>
      </c>
      <c r="K445" s="90" t="s">
        <v>208</v>
      </c>
      <c r="L445" s="90" t="s">
        <v>7</v>
      </c>
      <c r="M445" s="90" t="s">
        <v>6</v>
      </c>
      <c r="N445" s="88"/>
      <c r="O445" s="91">
        <v>45646</v>
      </c>
      <c r="P445" s="91">
        <v>45656</v>
      </c>
      <c r="Q445" s="91">
        <v>45664</v>
      </c>
      <c r="R445" s="91">
        <v>45691</v>
      </c>
      <c r="S445" s="91">
        <v>45887</v>
      </c>
      <c r="T445" s="88"/>
      <c r="U445" s="88"/>
      <c r="V445" s="90" t="s">
        <v>32</v>
      </c>
      <c r="W445" s="90">
        <v>3</v>
      </c>
      <c r="X445" s="90" t="s">
        <v>228</v>
      </c>
      <c r="Y445" s="91">
        <v>45870</v>
      </c>
      <c r="Z445" s="91">
        <v>46053</v>
      </c>
      <c r="AA445" s="88"/>
      <c r="AB445" s="88"/>
      <c r="AC445" s="92">
        <v>45946.545138888891</v>
      </c>
    </row>
    <row r="446" spans="1:29" customFormat="1" ht="16" x14ac:dyDescent="0.2">
      <c r="A446" s="90" t="s">
        <v>0</v>
      </c>
      <c r="B446" s="90" t="s">
        <v>241</v>
      </c>
      <c r="C446" s="90" t="s">
        <v>760</v>
      </c>
      <c r="D446" s="91">
        <v>34422</v>
      </c>
      <c r="E446" s="90">
        <v>31</v>
      </c>
      <c r="F446" s="90" t="s">
        <v>11</v>
      </c>
      <c r="G446" s="90" t="s">
        <v>11</v>
      </c>
      <c r="H446" s="90" t="s">
        <v>10</v>
      </c>
      <c r="I446" s="91">
        <v>45597</v>
      </c>
      <c r="J446" s="90" t="s">
        <v>161</v>
      </c>
      <c r="K446" s="90" t="s">
        <v>208</v>
      </c>
      <c r="L446" s="90" t="s">
        <v>7</v>
      </c>
      <c r="M446" s="90" t="s">
        <v>6</v>
      </c>
      <c r="N446" s="90" t="s">
        <v>120</v>
      </c>
      <c r="O446" s="91">
        <v>45646</v>
      </c>
      <c r="P446" s="91">
        <v>45656</v>
      </c>
      <c r="Q446" s="91">
        <v>45664</v>
      </c>
      <c r="R446" s="91">
        <v>45691</v>
      </c>
      <c r="S446" s="91">
        <v>45691</v>
      </c>
      <c r="T446" s="91">
        <v>45855</v>
      </c>
      <c r="U446" s="90" t="s">
        <v>216</v>
      </c>
      <c r="V446" s="90" t="s">
        <v>224</v>
      </c>
      <c r="W446" s="90">
        <v>3</v>
      </c>
      <c r="X446" s="90" t="s">
        <v>228</v>
      </c>
      <c r="Y446" s="91">
        <v>45689</v>
      </c>
      <c r="Z446" s="91">
        <v>45869</v>
      </c>
      <c r="AA446" s="88"/>
      <c r="AB446" s="88"/>
      <c r="AC446" s="92">
        <v>45855.779166666667</v>
      </c>
    </row>
    <row r="447" spans="1:29" customFormat="1" ht="16" x14ac:dyDescent="0.2">
      <c r="A447" s="90" t="s">
        <v>0</v>
      </c>
      <c r="B447" s="90" t="s">
        <v>761</v>
      </c>
      <c r="C447" s="90" t="s">
        <v>762</v>
      </c>
      <c r="D447" s="91">
        <v>27870</v>
      </c>
      <c r="E447" s="90">
        <v>49</v>
      </c>
      <c r="F447" s="90" t="s">
        <v>11</v>
      </c>
      <c r="G447" s="88"/>
      <c r="H447" s="90" t="s">
        <v>10</v>
      </c>
      <c r="I447" s="91">
        <v>44682</v>
      </c>
      <c r="J447" s="90" t="s">
        <v>212</v>
      </c>
      <c r="K447" s="90" t="s">
        <v>213</v>
      </c>
      <c r="L447" s="90" t="s">
        <v>5</v>
      </c>
      <c r="M447" s="90" t="s">
        <v>6</v>
      </c>
      <c r="N447" s="90" t="s">
        <v>119</v>
      </c>
      <c r="O447" s="91">
        <v>45646</v>
      </c>
      <c r="P447" s="91">
        <v>45646</v>
      </c>
      <c r="Q447" s="91">
        <v>45660</v>
      </c>
      <c r="R447" s="91">
        <v>45679</v>
      </c>
      <c r="S447" s="91">
        <v>45679</v>
      </c>
      <c r="T447" s="91">
        <v>45930</v>
      </c>
      <c r="U447" s="90" t="s">
        <v>319</v>
      </c>
      <c r="V447" s="90" t="s">
        <v>224</v>
      </c>
      <c r="W447" s="90">
        <v>2</v>
      </c>
      <c r="X447" s="90" t="s">
        <v>228</v>
      </c>
      <c r="Y447" s="91">
        <v>45658</v>
      </c>
      <c r="Z447" s="91">
        <v>45838</v>
      </c>
      <c r="AA447" s="88"/>
      <c r="AB447" s="88"/>
      <c r="AC447" s="92">
        <v>45918.352777777778</v>
      </c>
    </row>
    <row r="448" spans="1:29" customFormat="1" ht="16" x14ac:dyDescent="0.2">
      <c r="A448" s="90" t="s">
        <v>1</v>
      </c>
      <c r="B448" s="90" t="s">
        <v>878</v>
      </c>
      <c r="C448" s="90" t="s">
        <v>879</v>
      </c>
      <c r="D448" s="91">
        <v>24017</v>
      </c>
      <c r="E448" s="90">
        <v>60</v>
      </c>
      <c r="F448" s="90" t="s">
        <v>10</v>
      </c>
      <c r="G448" s="90" t="s">
        <v>10</v>
      </c>
      <c r="H448" s="90" t="s">
        <v>10</v>
      </c>
      <c r="I448" s="91">
        <v>45646</v>
      </c>
      <c r="J448" s="90" t="s">
        <v>734</v>
      </c>
      <c r="K448" s="90" t="s">
        <v>735</v>
      </c>
      <c r="L448" s="90" t="s">
        <v>4</v>
      </c>
      <c r="M448" s="90" t="s">
        <v>6</v>
      </c>
      <c r="N448" s="90" t="s">
        <v>119</v>
      </c>
      <c r="O448" s="91">
        <v>45636</v>
      </c>
      <c r="P448" s="91">
        <v>45680</v>
      </c>
      <c r="Q448" s="91">
        <v>45646</v>
      </c>
      <c r="R448" s="91">
        <v>45665</v>
      </c>
      <c r="S448" s="91">
        <v>45680</v>
      </c>
      <c r="T448" s="91">
        <v>45841</v>
      </c>
      <c r="U448" s="90" t="s">
        <v>1114</v>
      </c>
      <c r="V448" s="90" t="s">
        <v>224</v>
      </c>
      <c r="W448" s="90">
        <v>3</v>
      </c>
      <c r="X448" s="90" t="s">
        <v>228</v>
      </c>
      <c r="Y448" s="91">
        <v>45658</v>
      </c>
      <c r="Z448" s="91">
        <v>45839</v>
      </c>
      <c r="AA448" s="88"/>
      <c r="AB448" s="88"/>
      <c r="AC448" s="92">
        <v>45841.611111111109</v>
      </c>
    </row>
    <row r="449" spans="1:29" customFormat="1" ht="16" x14ac:dyDescent="0.2">
      <c r="A449" s="90" t="s">
        <v>0</v>
      </c>
      <c r="B449" s="90" t="s">
        <v>749</v>
      </c>
      <c r="C449" s="90" t="s">
        <v>340</v>
      </c>
      <c r="D449" s="91">
        <v>24640</v>
      </c>
      <c r="E449" s="90">
        <v>58</v>
      </c>
      <c r="F449" s="90" t="s">
        <v>11</v>
      </c>
      <c r="G449" s="88"/>
      <c r="H449" s="90" t="s">
        <v>10</v>
      </c>
      <c r="I449" s="91">
        <v>39965</v>
      </c>
      <c r="J449" s="90" t="s">
        <v>337</v>
      </c>
      <c r="K449" s="90" t="s">
        <v>338</v>
      </c>
      <c r="L449" s="90" t="s">
        <v>3</v>
      </c>
      <c r="M449" s="90" t="s">
        <v>6</v>
      </c>
      <c r="N449" s="88"/>
      <c r="O449" s="91">
        <v>45645</v>
      </c>
      <c r="P449" s="88"/>
      <c r="Q449" s="88"/>
      <c r="R449" s="88"/>
      <c r="S449" s="88"/>
      <c r="T449" s="88"/>
      <c r="U449" s="88"/>
      <c r="V449" s="90" t="s">
        <v>227</v>
      </c>
      <c r="W449" s="90">
        <v>0</v>
      </c>
      <c r="X449" s="88"/>
      <c r="Y449" s="88"/>
      <c r="Z449" s="88"/>
      <c r="AA449" s="88"/>
      <c r="AB449" s="88"/>
      <c r="AC449" s="92">
        <v>45678.375</v>
      </c>
    </row>
    <row r="450" spans="1:29" customFormat="1" ht="16" x14ac:dyDescent="0.2">
      <c r="A450" s="90" t="s">
        <v>1</v>
      </c>
      <c r="B450" s="90" t="s">
        <v>297</v>
      </c>
      <c r="C450" s="90" t="s">
        <v>298</v>
      </c>
      <c r="D450" s="91">
        <v>27822</v>
      </c>
      <c r="E450" s="90">
        <v>49</v>
      </c>
      <c r="F450" s="90" t="s">
        <v>11</v>
      </c>
      <c r="G450" s="90" t="s">
        <v>10</v>
      </c>
      <c r="H450" s="90" t="s">
        <v>10</v>
      </c>
      <c r="I450" s="91">
        <v>45644</v>
      </c>
      <c r="J450" s="90" t="s">
        <v>142</v>
      </c>
      <c r="K450" s="90" t="s">
        <v>143</v>
      </c>
      <c r="L450" s="90" t="s">
        <v>3</v>
      </c>
      <c r="M450" s="90" t="s">
        <v>6</v>
      </c>
      <c r="N450" s="90" t="s">
        <v>124</v>
      </c>
      <c r="O450" s="91">
        <v>45645</v>
      </c>
      <c r="P450" s="91">
        <v>45645</v>
      </c>
      <c r="Q450" s="91">
        <v>45646</v>
      </c>
      <c r="R450" s="91">
        <v>45677</v>
      </c>
      <c r="S450" s="91">
        <v>45677</v>
      </c>
      <c r="T450" s="91">
        <v>45860</v>
      </c>
      <c r="U450" s="90" t="s">
        <v>216</v>
      </c>
      <c r="V450" s="90" t="s">
        <v>224</v>
      </c>
      <c r="W450" s="90">
        <v>1</v>
      </c>
      <c r="X450" s="90" t="s">
        <v>118</v>
      </c>
      <c r="Y450" s="91">
        <v>45658</v>
      </c>
      <c r="Z450" s="91">
        <v>45839</v>
      </c>
      <c r="AA450" s="88"/>
      <c r="AB450" s="88"/>
      <c r="AC450" s="92">
        <v>45944.4</v>
      </c>
    </row>
    <row r="451" spans="1:29" customFormat="1" ht="16" x14ac:dyDescent="0.2">
      <c r="A451" s="90" t="s">
        <v>0</v>
      </c>
      <c r="B451" s="90" t="s">
        <v>247</v>
      </c>
      <c r="C451" s="90" t="s">
        <v>750</v>
      </c>
      <c r="D451" s="91">
        <v>29020</v>
      </c>
      <c r="E451" s="90">
        <v>46</v>
      </c>
      <c r="F451" s="90" t="s">
        <v>10</v>
      </c>
      <c r="G451" s="90" t="s">
        <v>10</v>
      </c>
      <c r="H451" s="90" t="s">
        <v>10</v>
      </c>
      <c r="I451" s="91">
        <v>39965</v>
      </c>
      <c r="J451" s="90" t="s">
        <v>275</v>
      </c>
      <c r="K451" s="90" t="s">
        <v>115</v>
      </c>
      <c r="L451" s="90" t="s">
        <v>4</v>
      </c>
      <c r="M451" s="90" t="s">
        <v>6</v>
      </c>
      <c r="N451" s="90" t="s">
        <v>119</v>
      </c>
      <c r="O451" s="91">
        <v>45645</v>
      </c>
      <c r="P451" s="91">
        <v>45664</v>
      </c>
      <c r="Q451" s="91">
        <v>45664</v>
      </c>
      <c r="R451" s="91">
        <v>45677</v>
      </c>
      <c r="S451" s="91">
        <v>45677</v>
      </c>
      <c r="T451" s="91">
        <v>45807</v>
      </c>
      <c r="U451" s="90" t="s">
        <v>319</v>
      </c>
      <c r="V451" s="90" t="s">
        <v>224</v>
      </c>
      <c r="W451" s="90">
        <v>1</v>
      </c>
      <c r="X451" s="90" t="s">
        <v>228</v>
      </c>
      <c r="Y451" s="91">
        <v>45658</v>
      </c>
      <c r="Z451" s="91">
        <v>45839</v>
      </c>
      <c r="AA451" s="88"/>
      <c r="AB451" s="88"/>
      <c r="AC451" s="92">
        <v>45822.637499999997</v>
      </c>
    </row>
    <row r="452" spans="1:29" customFormat="1" ht="16" x14ac:dyDescent="0.2">
      <c r="A452" s="90" t="s">
        <v>1</v>
      </c>
      <c r="B452" s="90" t="s">
        <v>751</v>
      </c>
      <c r="C452" s="90" t="s">
        <v>752</v>
      </c>
      <c r="D452" s="91">
        <v>26399</v>
      </c>
      <c r="E452" s="90">
        <v>53</v>
      </c>
      <c r="F452" s="90" t="s">
        <v>10</v>
      </c>
      <c r="G452" s="90" t="s">
        <v>10</v>
      </c>
      <c r="H452" s="90" t="s">
        <v>10</v>
      </c>
      <c r="I452" s="91">
        <v>45352</v>
      </c>
      <c r="J452" s="90" t="s">
        <v>212</v>
      </c>
      <c r="K452" s="90" t="s">
        <v>213</v>
      </c>
      <c r="L452" s="90" t="s">
        <v>5</v>
      </c>
      <c r="M452" s="90" t="s">
        <v>6</v>
      </c>
      <c r="N452" s="88"/>
      <c r="O452" s="91">
        <v>45645</v>
      </c>
      <c r="P452" s="91">
        <v>45646</v>
      </c>
      <c r="Q452" s="91">
        <v>45673</v>
      </c>
      <c r="R452" s="88"/>
      <c r="S452" s="88"/>
      <c r="T452" s="88"/>
      <c r="U452" s="90" t="s">
        <v>712</v>
      </c>
      <c r="V452" s="90" t="s">
        <v>224</v>
      </c>
      <c r="W452" s="90">
        <v>0</v>
      </c>
      <c r="X452" s="88"/>
      <c r="Y452" s="88"/>
      <c r="Z452" s="88"/>
      <c r="AA452" s="88"/>
      <c r="AB452" s="88"/>
      <c r="AC452" s="92">
        <v>45673.365277777775</v>
      </c>
    </row>
    <row r="453" spans="1:29" customFormat="1" ht="16" x14ac:dyDescent="0.2">
      <c r="A453" s="90" t="s">
        <v>0</v>
      </c>
      <c r="B453" s="90" t="s">
        <v>168</v>
      </c>
      <c r="C453" s="90" t="s">
        <v>753</v>
      </c>
      <c r="D453" s="91">
        <v>25261</v>
      </c>
      <c r="E453" s="90">
        <v>56</v>
      </c>
      <c r="F453" s="90" t="s">
        <v>11</v>
      </c>
      <c r="G453" s="90" t="s">
        <v>10</v>
      </c>
      <c r="H453" s="90" t="s">
        <v>10</v>
      </c>
      <c r="I453" s="91">
        <v>42064</v>
      </c>
      <c r="J453" s="90" t="s">
        <v>110</v>
      </c>
      <c r="K453" s="90" t="s">
        <v>128</v>
      </c>
      <c r="L453" s="90" t="s">
        <v>7</v>
      </c>
      <c r="M453" s="90" t="s">
        <v>6</v>
      </c>
      <c r="N453" s="90" t="s">
        <v>120</v>
      </c>
      <c r="O453" s="91">
        <v>45644</v>
      </c>
      <c r="P453" s="91">
        <v>45673</v>
      </c>
      <c r="Q453" s="91">
        <v>45684</v>
      </c>
      <c r="R453" s="91">
        <v>45693</v>
      </c>
      <c r="S453" s="91">
        <v>45699</v>
      </c>
      <c r="T453" s="91">
        <v>45866</v>
      </c>
      <c r="U453" s="90" t="s">
        <v>319</v>
      </c>
      <c r="V453" s="90" t="s">
        <v>224</v>
      </c>
      <c r="W453" s="90">
        <v>4</v>
      </c>
      <c r="X453" s="90" t="s">
        <v>228</v>
      </c>
      <c r="Y453" s="91">
        <v>45689</v>
      </c>
      <c r="Z453" s="91">
        <v>45869</v>
      </c>
      <c r="AA453" s="88"/>
      <c r="AB453" s="88"/>
      <c r="AC453" s="92">
        <v>45952.830555555556</v>
      </c>
    </row>
    <row r="454" spans="1:29" customFormat="1" ht="16" x14ac:dyDescent="0.2">
      <c r="A454" s="90" t="s">
        <v>1</v>
      </c>
      <c r="B454" s="90" t="s">
        <v>271</v>
      </c>
      <c r="C454" s="90" t="s">
        <v>754</v>
      </c>
      <c r="D454" s="91">
        <v>27359</v>
      </c>
      <c r="E454" s="90">
        <v>51</v>
      </c>
      <c r="F454" s="90" t="s">
        <v>11</v>
      </c>
      <c r="G454" s="90" t="s">
        <v>10</v>
      </c>
      <c r="H454" s="90" t="s">
        <v>10</v>
      </c>
      <c r="I454" s="91">
        <v>42125</v>
      </c>
      <c r="J454" s="90" t="s">
        <v>583</v>
      </c>
      <c r="K454" s="90" t="s">
        <v>332</v>
      </c>
      <c r="L454" s="90" t="s">
        <v>3</v>
      </c>
      <c r="M454" s="90" t="s">
        <v>6</v>
      </c>
      <c r="N454" s="90" t="s">
        <v>117</v>
      </c>
      <c r="O454" s="91">
        <v>45644</v>
      </c>
      <c r="P454" s="91">
        <v>45644</v>
      </c>
      <c r="Q454" s="91">
        <v>45645</v>
      </c>
      <c r="R454" s="91">
        <v>45646</v>
      </c>
      <c r="S454" s="91">
        <v>45672</v>
      </c>
      <c r="T454" s="91">
        <v>45838</v>
      </c>
      <c r="U454" s="90" t="s">
        <v>319</v>
      </c>
      <c r="V454" s="90" t="s">
        <v>224</v>
      </c>
      <c r="W454" s="90">
        <v>1</v>
      </c>
      <c r="X454" s="90" t="s">
        <v>118</v>
      </c>
      <c r="Y454" s="91">
        <v>45658</v>
      </c>
      <c r="Z454" s="91">
        <v>45839</v>
      </c>
      <c r="AA454" s="88"/>
      <c r="AB454" s="88"/>
      <c r="AC454" s="92">
        <v>45848.533333333333</v>
      </c>
    </row>
    <row r="455" spans="1:29" customFormat="1" ht="16" x14ac:dyDescent="0.2">
      <c r="A455" s="90" t="s">
        <v>1</v>
      </c>
      <c r="B455" s="90" t="s">
        <v>876</v>
      </c>
      <c r="C455" s="90" t="s">
        <v>877</v>
      </c>
      <c r="D455" s="91">
        <v>26332</v>
      </c>
      <c r="E455" s="90">
        <v>53</v>
      </c>
      <c r="F455" s="90" t="s">
        <v>11</v>
      </c>
      <c r="G455" s="90" t="s">
        <v>11</v>
      </c>
      <c r="H455" s="90" t="s">
        <v>10</v>
      </c>
      <c r="I455" s="91">
        <v>43374</v>
      </c>
      <c r="J455" s="90" t="s">
        <v>276</v>
      </c>
      <c r="K455" s="90" t="s">
        <v>169</v>
      </c>
      <c r="L455" s="90" t="s">
        <v>4</v>
      </c>
      <c r="M455" s="90" t="s">
        <v>6</v>
      </c>
      <c r="N455" s="90" t="s">
        <v>119</v>
      </c>
      <c r="O455" s="91">
        <v>45644</v>
      </c>
      <c r="P455" s="91">
        <v>45644</v>
      </c>
      <c r="Q455" s="91">
        <v>45660</v>
      </c>
      <c r="R455" s="91">
        <v>45666</v>
      </c>
      <c r="S455" s="91">
        <v>45692</v>
      </c>
      <c r="T455" s="88"/>
      <c r="U455" s="88"/>
      <c r="V455" s="90" t="s">
        <v>32</v>
      </c>
      <c r="W455" s="90">
        <v>3</v>
      </c>
      <c r="X455" s="90" t="s">
        <v>228</v>
      </c>
      <c r="Y455" s="91">
        <v>45689</v>
      </c>
      <c r="Z455" s="91">
        <v>45869</v>
      </c>
      <c r="AA455" s="91">
        <v>45870</v>
      </c>
      <c r="AB455" s="91">
        <v>45961</v>
      </c>
      <c r="AC455" s="92">
        <v>45863.324305555558</v>
      </c>
    </row>
    <row r="456" spans="1:29" customFormat="1" ht="16" x14ac:dyDescent="0.2">
      <c r="A456" s="90" t="s">
        <v>0</v>
      </c>
      <c r="B456" s="90" t="s">
        <v>755</v>
      </c>
      <c r="C456" s="90" t="s">
        <v>756</v>
      </c>
      <c r="D456" s="91">
        <v>34464</v>
      </c>
      <c r="E456" s="90">
        <v>31</v>
      </c>
      <c r="F456" s="90" t="s">
        <v>10</v>
      </c>
      <c r="G456" s="90" t="s">
        <v>11</v>
      </c>
      <c r="H456" s="90" t="s">
        <v>10</v>
      </c>
      <c r="I456" s="91">
        <v>41699</v>
      </c>
      <c r="J456" s="90" t="s">
        <v>745</v>
      </c>
      <c r="K456" s="90" t="s">
        <v>746</v>
      </c>
      <c r="L456" s="90" t="s">
        <v>3</v>
      </c>
      <c r="M456" s="90" t="s">
        <v>6</v>
      </c>
      <c r="N456" s="88"/>
      <c r="O456" s="91">
        <v>45644</v>
      </c>
      <c r="P456" s="91">
        <v>45644</v>
      </c>
      <c r="Q456" s="91">
        <v>45708</v>
      </c>
      <c r="R456" s="91">
        <v>45729</v>
      </c>
      <c r="S456" s="91">
        <v>45708</v>
      </c>
      <c r="T456" s="91">
        <v>45751</v>
      </c>
      <c r="U456" s="90" t="s">
        <v>712</v>
      </c>
      <c r="V456" s="90" t="s">
        <v>224</v>
      </c>
      <c r="W456" s="90">
        <v>1</v>
      </c>
      <c r="X456" s="90" t="s">
        <v>228</v>
      </c>
      <c r="Y456" s="88"/>
      <c r="Z456" s="88"/>
      <c r="AA456" s="88"/>
      <c r="AB456" s="88"/>
      <c r="AC456" s="92">
        <v>45902.678472222222</v>
      </c>
    </row>
    <row r="457" spans="1:29" customFormat="1" ht="16" x14ac:dyDescent="0.2">
      <c r="A457" s="90" t="s">
        <v>0</v>
      </c>
      <c r="B457" s="90" t="s">
        <v>187</v>
      </c>
      <c r="C457" s="90" t="s">
        <v>410</v>
      </c>
      <c r="D457" s="91">
        <v>23868</v>
      </c>
      <c r="E457" s="90">
        <v>60</v>
      </c>
      <c r="F457" s="90" t="s">
        <v>11</v>
      </c>
      <c r="G457" s="90" t="s">
        <v>11</v>
      </c>
      <c r="H457" s="90" t="s">
        <v>10</v>
      </c>
      <c r="I457" s="91">
        <v>41944</v>
      </c>
      <c r="J457" s="90" t="s">
        <v>337</v>
      </c>
      <c r="K457" s="90" t="s">
        <v>338</v>
      </c>
      <c r="L457" s="90" t="s">
        <v>3</v>
      </c>
      <c r="M457" s="90" t="s">
        <v>6</v>
      </c>
      <c r="N457" s="90" t="s">
        <v>120</v>
      </c>
      <c r="O457" s="91">
        <v>45643</v>
      </c>
      <c r="P457" s="91">
        <v>45643</v>
      </c>
      <c r="Q457" s="91">
        <v>45644</v>
      </c>
      <c r="R457" s="91">
        <v>45670</v>
      </c>
      <c r="S457" s="91">
        <v>45670</v>
      </c>
      <c r="T457" s="91">
        <v>45903</v>
      </c>
      <c r="U457" s="90" t="s">
        <v>320</v>
      </c>
      <c r="V457" s="90" t="s">
        <v>224</v>
      </c>
      <c r="W457" s="90">
        <v>1</v>
      </c>
      <c r="X457" s="90" t="s">
        <v>118</v>
      </c>
      <c r="Y457" s="91">
        <v>45658</v>
      </c>
      <c r="Z457" s="91">
        <v>45839</v>
      </c>
      <c r="AA457" s="91">
        <v>45839</v>
      </c>
      <c r="AB457" s="91">
        <v>45900</v>
      </c>
      <c r="AC457" s="92">
        <v>45903.681944444441</v>
      </c>
    </row>
    <row r="458" spans="1:29" customFormat="1" ht="16" x14ac:dyDescent="0.2">
      <c r="A458" s="90" t="s">
        <v>0</v>
      </c>
      <c r="B458" s="90" t="s">
        <v>322</v>
      </c>
      <c r="C458" s="90" t="s">
        <v>757</v>
      </c>
      <c r="D458" s="91">
        <v>28717</v>
      </c>
      <c r="E458" s="90">
        <v>47</v>
      </c>
      <c r="F458" s="90" t="s">
        <v>11</v>
      </c>
      <c r="G458" s="90" t="s">
        <v>11</v>
      </c>
      <c r="H458" s="90" t="s">
        <v>10</v>
      </c>
      <c r="I458" s="88"/>
      <c r="J458" s="90" t="s">
        <v>276</v>
      </c>
      <c r="K458" s="90" t="s">
        <v>169</v>
      </c>
      <c r="L458" s="90" t="s">
        <v>4</v>
      </c>
      <c r="M458" s="90" t="s">
        <v>6</v>
      </c>
      <c r="N458" s="90" t="s">
        <v>119</v>
      </c>
      <c r="O458" s="91">
        <v>45643</v>
      </c>
      <c r="P458" s="91">
        <v>45644</v>
      </c>
      <c r="Q458" s="91">
        <v>45645</v>
      </c>
      <c r="R458" s="91">
        <v>45666</v>
      </c>
      <c r="S458" s="91">
        <v>45666</v>
      </c>
      <c r="T458" s="91">
        <v>45951</v>
      </c>
      <c r="U458" s="90" t="s">
        <v>319</v>
      </c>
      <c r="V458" s="90" t="s">
        <v>224</v>
      </c>
      <c r="W458" s="90">
        <v>2</v>
      </c>
      <c r="X458" s="90" t="s">
        <v>228</v>
      </c>
      <c r="Y458" s="91">
        <v>45658</v>
      </c>
      <c r="Z458" s="91">
        <v>45839</v>
      </c>
      <c r="AA458" s="91">
        <v>45839</v>
      </c>
      <c r="AB458" s="91">
        <v>45930</v>
      </c>
      <c r="AC458" s="92">
        <v>45951.683333333334</v>
      </c>
    </row>
    <row r="459" spans="1:29" customFormat="1" ht="16" x14ac:dyDescent="0.2">
      <c r="A459" s="90" t="s">
        <v>1</v>
      </c>
      <c r="B459" s="90" t="s">
        <v>342</v>
      </c>
      <c r="C459" s="90" t="s">
        <v>747</v>
      </c>
      <c r="D459" s="91">
        <v>32840</v>
      </c>
      <c r="E459" s="90">
        <v>36</v>
      </c>
      <c r="F459" s="90" t="s">
        <v>11</v>
      </c>
      <c r="G459" s="90" t="s">
        <v>10</v>
      </c>
      <c r="H459" s="90" t="s">
        <v>10</v>
      </c>
      <c r="I459" s="91">
        <v>44593</v>
      </c>
      <c r="J459" s="90" t="s">
        <v>110</v>
      </c>
      <c r="K459" s="90" t="s">
        <v>128</v>
      </c>
      <c r="L459" s="90" t="s">
        <v>7</v>
      </c>
      <c r="M459" s="90" t="s">
        <v>6</v>
      </c>
      <c r="N459" s="90" t="s">
        <v>120</v>
      </c>
      <c r="O459" s="91">
        <v>45643</v>
      </c>
      <c r="P459" s="91">
        <v>45645</v>
      </c>
      <c r="Q459" s="91">
        <v>45645</v>
      </c>
      <c r="R459" s="91">
        <v>45674</v>
      </c>
      <c r="S459" s="91">
        <v>45674</v>
      </c>
      <c r="T459" s="91">
        <v>45902</v>
      </c>
      <c r="U459" s="90" t="s">
        <v>320</v>
      </c>
      <c r="V459" s="90" t="s">
        <v>224</v>
      </c>
      <c r="W459" s="90">
        <v>4</v>
      </c>
      <c r="X459" s="90" t="s">
        <v>228</v>
      </c>
      <c r="Y459" s="91">
        <v>45658</v>
      </c>
      <c r="Z459" s="91">
        <v>45839</v>
      </c>
      <c r="AA459" s="88"/>
      <c r="AB459" s="88"/>
      <c r="AC459" s="92">
        <v>45902.747916666667</v>
      </c>
    </row>
    <row r="460" spans="1:29" customFormat="1" ht="16" x14ac:dyDescent="0.2">
      <c r="A460" s="90" t="s">
        <v>1</v>
      </c>
      <c r="B460" s="90" t="s">
        <v>434</v>
      </c>
      <c r="C460" s="90" t="s">
        <v>748</v>
      </c>
      <c r="D460" s="91">
        <v>32386</v>
      </c>
      <c r="E460" s="90">
        <v>37</v>
      </c>
      <c r="F460" s="90" t="s">
        <v>11</v>
      </c>
      <c r="G460" s="90" t="s">
        <v>11</v>
      </c>
      <c r="H460" s="90" t="s">
        <v>10</v>
      </c>
      <c r="I460" s="91">
        <v>43739</v>
      </c>
      <c r="J460" s="90" t="s">
        <v>203</v>
      </c>
      <c r="K460" s="90" t="s">
        <v>204</v>
      </c>
      <c r="L460" s="90" t="s">
        <v>3</v>
      </c>
      <c r="M460" s="90" t="s">
        <v>6</v>
      </c>
      <c r="N460" s="90" t="s">
        <v>176</v>
      </c>
      <c r="O460" s="91">
        <v>45642</v>
      </c>
      <c r="P460" s="91">
        <v>45642</v>
      </c>
      <c r="Q460" s="91">
        <v>45644</v>
      </c>
      <c r="R460" s="91">
        <v>45672</v>
      </c>
      <c r="S460" s="91">
        <v>45672</v>
      </c>
      <c r="T460" s="91">
        <v>45845</v>
      </c>
      <c r="U460" s="90" t="s">
        <v>319</v>
      </c>
      <c r="V460" s="90" t="s">
        <v>224</v>
      </c>
      <c r="W460" s="90">
        <v>1</v>
      </c>
      <c r="X460" s="90" t="s">
        <v>118</v>
      </c>
      <c r="Y460" s="91">
        <v>45658</v>
      </c>
      <c r="Z460" s="91">
        <v>45838</v>
      </c>
      <c r="AA460" s="91">
        <v>45839</v>
      </c>
      <c r="AB460" s="91">
        <v>45869</v>
      </c>
      <c r="AC460" s="92">
        <v>45859.686111111114</v>
      </c>
    </row>
    <row r="461" spans="1:29" customFormat="1" ht="16" x14ac:dyDescent="0.2">
      <c r="A461" s="90" t="s">
        <v>1</v>
      </c>
      <c r="B461" s="90" t="s">
        <v>775</v>
      </c>
      <c r="C461" s="90" t="s">
        <v>776</v>
      </c>
      <c r="D461" s="91">
        <v>27477</v>
      </c>
      <c r="E461" s="90">
        <v>50</v>
      </c>
      <c r="F461" s="90" t="s">
        <v>11</v>
      </c>
      <c r="G461" s="90" t="s">
        <v>10</v>
      </c>
      <c r="H461" s="90" t="s">
        <v>10</v>
      </c>
      <c r="I461" s="91">
        <v>45536</v>
      </c>
      <c r="J461" s="90" t="s">
        <v>179</v>
      </c>
      <c r="K461" s="90" t="s">
        <v>675</v>
      </c>
      <c r="L461" s="90" t="s">
        <v>4</v>
      </c>
      <c r="M461" s="90" t="s">
        <v>6</v>
      </c>
      <c r="N461" s="90" t="s">
        <v>174</v>
      </c>
      <c r="O461" s="91">
        <v>45642</v>
      </c>
      <c r="P461" s="91">
        <v>45644</v>
      </c>
      <c r="Q461" s="91">
        <v>45645</v>
      </c>
      <c r="R461" s="91">
        <v>45663</v>
      </c>
      <c r="S461" s="91">
        <v>45663</v>
      </c>
      <c r="T461" s="91">
        <v>45860</v>
      </c>
      <c r="U461" s="90" t="s">
        <v>319</v>
      </c>
      <c r="V461" s="90" t="s">
        <v>224</v>
      </c>
      <c r="W461" s="90">
        <v>4</v>
      </c>
      <c r="X461" s="90" t="s">
        <v>125</v>
      </c>
      <c r="Y461" s="91">
        <v>45658</v>
      </c>
      <c r="Z461" s="91">
        <v>45839</v>
      </c>
      <c r="AA461" s="88"/>
      <c r="AB461" s="88"/>
      <c r="AC461" s="92">
        <v>45860.720138888886</v>
      </c>
    </row>
    <row r="462" spans="1:29" customFormat="1" ht="16" x14ac:dyDescent="0.2">
      <c r="A462" s="90" t="s">
        <v>0</v>
      </c>
      <c r="B462" s="90" t="s">
        <v>725</v>
      </c>
      <c r="C462" s="90" t="s">
        <v>726</v>
      </c>
      <c r="D462" s="91">
        <v>29045</v>
      </c>
      <c r="E462" s="90">
        <v>46</v>
      </c>
      <c r="F462" s="90" t="s">
        <v>10</v>
      </c>
      <c r="G462" s="90" t="s">
        <v>10</v>
      </c>
      <c r="H462" s="90" t="s">
        <v>10</v>
      </c>
      <c r="I462" s="91">
        <v>45566</v>
      </c>
      <c r="J462" s="90" t="s">
        <v>161</v>
      </c>
      <c r="K462" s="90" t="s">
        <v>208</v>
      </c>
      <c r="L462" s="90" t="s">
        <v>7</v>
      </c>
      <c r="M462" s="90" t="s">
        <v>6</v>
      </c>
      <c r="N462" s="90" t="s">
        <v>120</v>
      </c>
      <c r="O462" s="91">
        <v>45639</v>
      </c>
      <c r="P462" s="91">
        <v>45895</v>
      </c>
      <c r="Q462" s="91">
        <v>45644</v>
      </c>
      <c r="R462" s="91">
        <v>45674</v>
      </c>
      <c r="S462" s="91">
        <v>45674</v>
      </c>
      <c r="T462" s="91">
        <v>45921</v>
      </c>
      <c r="U462" s="90" t="s">
        <v>319</v>
      </c>
      <c r="V462" s="90" t="s">
        <v>224</v>
      </c>
      <c r="W462" s="90">
        <v>4</v>
      </c>
      <c r="X462" s="90" t="s">
        <v>228</v>
      </c>
      <c r="Y462" s="91">
        <v>45658</v>
      </c>
      <c r="Z462" s="91">
        <v>45839</v>
      </c>
      <c r="AA462" s="88"/>
      <c r="AB462" s="88"/>
      <c r="AC462" s="92">
        <v>45921.459722222222</v>
      </c>
    </row>
    <row r="463" spans="1:29" customFormat="1" ht="16" x14ac:dyDescent="0.2">
      <c r="A463" s="90" t="s">
        <v>1</v>
      </c>
      <c r="B463" s="90" t="s">
        <v>233</v>
      </c>
      <c r="C463" s="90" t="s">
        <v>727</v>
      </c>
      <c r="D463" s="91">
        <v>32210</v>
      </c>
      <c r="E463" s="90">
        <v>37</v>
      </c>
      <c r="F463" s="90" t="s">
        <v>11</v>
      </c>
      <c r="G463" s="90" t="s">
        <v>10</v>
      </c>
      <c r="H463" s="90" t="s">
        <v>10</v>
      </c>
      <c r="I463" s="91">
        <v>45413</v>
      </c>
      <c r="J463" s="90" t="s">
        <v>728</v>
      </c>
      <c r="K463" s="90" t="s">
        <v>560</v>
      </c>
      <c r="L463" s="90" t="s">
        <v>4</v>
      </c>
      <c r="M463" s="90" t="s">
        <v>6</v>
      </c>
      <c r="N463" s="90" t="s">
        <v>119</v>
      </c>
      <c r="O463" s="91">
        <v>45639</v>
      </c>
      <c r="P463" s="91">
        <v>45644</v>
      </c>
      <c r="Q463" s="91">
        <v>45660</v>
      </c>
      <c r="R463" s="91">
        <v>45677</v>
      </c>
      <c r="S463" s="91">
        <v>45677</v>
      </c>
      <c r="T463" s="91">
        <v>45873</v>
      </c>
      <c r="U463" s="90" t="s">
        <v>1113</v>
      </c>
      <c r="V463" s="90" t="s">
        <v>224</v>
      </c>
      <c r="W463" s="90">
        <v>5</v>
      </c>
      <c r="X463" s="90" t="s">
        <v>228</v>
      </c>
      <c r="Y463" s="91">
        <v>45658</v>
      </c>
      <c r="Z463" s="91">
        <v>45838</v>
      </c>
      <c r="AA463" s="88"/>
      <c r="AB463" s="88"/>
      <c r="AC463" s="92">
        <v>45952.832638888889</v>
      </c>
    </row>
    <row r="464" spans="1:29" customFormat="1" ht="16" x14ac:dyDescent="0.2">
      <c r="A464" s="90" t="s">
        <v>0</v>
      </c>
      <c r="B464" s="90" t="s">
        <v>729</v>
      </c>
      <c r="C464" s="90" t="s">
        <v>730</v>
      </c>
      <c r="D464" s="91">
        <v>28848</v>
      </c>
      <c r="E464" s="90">
        <v>47</v>
      </c>
      <c r="F464" s="90" t="s">
        <v>11</v>
      </c>
      <c r="G464" s="90" t="s">
        <v>11</v>
      </c>
      <c r="H464" s="90" t="s">
        <v>10</v>
      </c>
      <c r="I464" s="88"/>
      <c r="J464" s="90" t="s">
        <v>138</v>
      </c>
      <c r="K464" s="90" t="s">
        <v>139</v>
      </c>
      <c r="L464" s="90" t="s">
        <v>7</v>
      </c>
      <c r="M464" s="90" t="s">
        <v>6</v>
      </c>
      <c r="N464" s="90" t="s">
        <v>117</v>
      </c>
      <c r="O464" s="91">
        <v>45639</v>
      </c>
      <c r="P464" s="91">
        <v>45645</v>
      </c>
      <c r="Q464" s="91">
        <v>45645</v>
      </c>
      <c r="R464" s="91">
        <v>45677</v>
      </c>
      <c r="S464" s="91">
        <v>45691</v>
      </c>
      <c r="T464" s="91">
        <v>45887</v>
      </c>
      <c r="U464" s="90" t="s">
        <v>218</v>
      </c>
      <c r="V464" s="90" t="s">
        <v>224</v>
      </c>
      <c r="W464" s="90">
        <v>2</v>
      </c>
      <c r="X464" s="90" t="s">
        <v>228</v>
      </c>
      <c r="Y464" s="91">
        <v>45689</v>
      </c>
      <c r="Z464" s="91">
        <v>45869</v>
      </c>
      <c r="AA464" s="88"/>
      <c r="AB464" s="88"/>
      <c r="AC464" s="92">
        <v>45887.613888888889</v>
      </c>
    </row>
    <row r="465" spans="1:29" customFormat="1" ht="16" x14ac:dyDescent="0.2">
      <c r="A465" s="90" t="s">
        <v>0</v>
      </c>
      <c r="B465" s="90" t="s">
        <v>104</v>
      </c>
      <c r="C465" s="90" t="s">
        <v>316</v>
      </c>
      <c r="D465" s="91">
        <v>26573</v>
      </c>
      <c r="E465" s="90">
        <v>53</v>
      </c>
      <c r="F465" s="90" t="s">
        <v>10</v>
      </c>
      <c r="G465" s="90" t="s">
        <v>10</v>
      </c>
      <c r="H465" s="90" t="s">
        <v>10</v>
      </c>
      <c r="I465" s="91">
        <v>42736</v>
      </c>
      <c r="J465" s="90" t="s">
        <v>275</v>
      </c>
      <c r="K465" s="90" t="s">
        <v>115</v>
      </c>
      <c r="L465" s="90" t="s">
        <v>4</v>
      </c>
      <c r="M465" s="90" t="s">
        <v>6</v>
      </c>
      <c r="N465" s="90" t="s">
        <v>120</v>
      </c>
      <c r="O465" s="91">
        <v>45639</v>
      </c>
      <c r="P465" s="91">
        <v>45644</v>
      </c>
      <c r="Q465" s="91">
        <v>45645</v>
      </c>
      <c r="R465" s="91">
        <v>45663</v>
      </c>
      <c r="S465" s="91">
        <v>45663</v>
      </c>
      <c r="T465" s="91">
        <v>45874</v>
      </c>
      <c r="U465" s="90" t="s">
        <v>319</v>
      </c>
      <c r="V465" s="90" t="s">
        <v>224</v>
      </c>
      <c r="W465" s="90">
        <v>4</v>
      </c>
      <c r="X465" s="90" t="s">
        <v>228</v>
      </c>
      <c r="Y465" s="91">
        <v>45658</v>
      </c>
      <c r="Z465" s="91">
        <v>45839</v>
      </c>
      <c r="AA465" s="88"/>
      <c r="AB465" s="88"/>
      <c r="AC465" s="92">
        <v>45952.833333333336</v>
      </c>
    </row>
    <row r="466" spans="1:29" customFormat="1" ht="16" x14ac:dyDescent="0.2">
      <c r="A466" s="90" t="s">
        <v>1</v>
      </c>
      <c r="B466" s="90" t="s">
        <v>122</v>
      </c>
      <c r="C466" s="90" t="s">
        <v>314</v>
      </c>
      <c r="D466" s="91">
        <v>28212</v>
      </c>
      <c r="E466" s="90">
        <v>48</v>
      </c>
      <c r="F466" s="90" t="s">
        <v>10</v>
      </c>
      <c r="G466" s="90" t="s">
        <v>10</v>
      </c>
      <c r="H466" s="90" t="s">
        <v>10</v>
      </c>
      <c r="I466" s="91">
        <v>39965</v>
      </c>
      <c r="J466" s="90" t="s">
        <v>275</v>
      </c>
      <c r="K466" s="90" t="s">
        <v>115</v>
      </c>
      <c r="L466" s="90" t="s">
        <v>4</v>
      </c>
      <c r="M466" s="90" t="s">
        <v>6</v>
      </c>
      <c r="N466" s="90" t="s">
        <v>120</v>
      </c>
      <c r="O466" s="91">
        <v>45639</v>
      </c>
      <c r="P466" s="91">
        <v>45644</v>
      </c>
      <c r="Q466" s="91">
        <v>45663</v>
      </c>
      <c r="R466" s="91">
        <v>45677</v>
      </c>
      <c r="S466" s="91">
        <v>45761</v>
      </c>
      <c r="T466" s="91">
        <v>45761</v>
      </c>
      <c r="U466" s="90" t="s">
        <v>92</v>
      </c>
      <c r="V466" s="90" t="s">
        <v>224</v>
      </c>
      <c r="W466" s="90">
        <v>2</v>
      </c>
      <c r="X466" s="90" t="s">
        <v>228</v>
      </c>
      <c r="Y466" s="88"/>
      <c r="Z466" s="88"/>
      <c r="AA466" s="88"/>
      <c r="AB466" s="88"/>
      <c r="AC466" s="92">
        <v>45761.592361111114</v>
      </c>
    </row>
    <row r="467" spans="1:29" customFormat="1" ht="16" x14ac:dyDescent="0.2">
      <c r="A467" s="90" t="s">
        <v>0</v>
      </c>
      <c r="B467" s="90" t="s">
        <v>731</v>
      </c>
      <c r="C467" s="90" t="s">
        <v>732</v>
      </c>
      <c r="D467" s="91">
        <v>33635</v>
      </c>
      <c r="E467" s="90">
        <v>33</v>
      </c>
      <c r="F467" s="90" t="s">
        <v>11</v>
      </c>
      <c r="G467" s="90" t="s">
        <v>10</v>
      </c>
      <c r="H467" s="90" t="s">
        <v>10</v>
      </c>
      <c r="I467" s="91">
        <v>43160</v>
      </c>
      <c r="J467" s="90" t="s">
        <v>331</v>
      </c>
      <c r="K467" s="90" t="s">
        <v>332</v>
      </c>
      <c r="L467" s="90" t="s">
        <v>3</v>
      </c>
      <c r="M467" s="90" t="s">
        <v>6</v>
      </c>
      <c r="N467" s="90" t="s">
        <v>119</v>
      </c>
      <c r="O467" s="91">
        <v>45638</v>
      </c>
      <c r="P467" s="91">
        <v>45638</v>
      </c>
      <c r="Q467" s="91">
        <v>45639</v>
      </c>
      <c r="R467" s="91">
        <v>45670</v>
      </c>
      <c r="S467" s="91">
        <v>45670</v>
      </c>
      <c r="T467" s="91">
        <v>45853</v>
      </c>
      <c r="U467" s="90" t="s">
        <v>407</v>
      </c>
      <c r="V467" s="90" t="s">
        <v>224</v>
      </c>
      <c r="W467" s="90">
        <v>1</v>
      </c>
      <c r="X467" s="90" t="s">
        <v>118</v>
      </c>
      <c r="Y467" s="91">
        <v>45658</v>
      </c>
      <c r="Z467" s="91">
        <v>45839</v>
      </c>
      <c r="AA467" s="88"/>
      <c r="AB467" s="88"/>
      <c r="AC467" s="92">
        <v>45874.409722222219</v>
      </c>
    </row>
    <row r="468" spans="1:29" customFormat="1" ht="16" x14ac:dyDescent="0.2">
      <c r="A468" s="90" t="s">
        <v>1</v>
      </c>
      <c r="B468" s="90" t="s">
        <v>481</v>
      </c>
      <c r="C468" s="90" t="s">
        <v>482</v>
      </c>
      <c r="D468" s="91">
        <v>25693</v>
      </c>
      <c r="E468" s="90">
        <v>55</v>
      </c>
      <c r="F468" s="88"/>
      <c r="G468" s="90" t="s">
        <v>10</v>
      </c>
      <c r="H468" s="90" t="s">
        <v>10</v>
      </c>
      <c r="I468" s="88"/>
      <c r="J468" s="90" t="s">
        <v>402</v>
      </c>
      <c r="K468" s="90" t="s">
        <v>403</v>
      </c>
      <c r="L468" s="90" t="s">
        <v>3</v>
      </c>
      <c r="M468" s="90" t="s">
        <v>396</v>
      </c>
      <c r="N468" s="90" t="s">
        <v>120</v>
      </c>
      <c r="O468" s="91">
        <v>45583</v>
      </c>
      <c r="P468" s="91">
        <v>45583</v>
      </c>
      <c r="Q468" s="91">
        <v>45586</v>
      </c>
      <c r="R468" s="91">
        <v>45608</v>
      </c>
      <c r="S468" s="91">
        <v>45583</v>
      </c>
      <c r="T468" s="91">
        <v>45749</v>
      </c>
      <c r="U468" s="90" t="s">
        <v>319</v>
      </c>
      <c r="V468" s="90" t="s">
        <v>224</v>
      </c>
      <c r="W468" s="90">
        <v>2</v>
      </c>
      <c r="X468" s="90" t="s">
        <v>228</v>
      </c>
      <c r="Y468" s="91">
        <v>45748</v>
      </c>
      <c r="Z468" s="91">
        <v>45808</v>
      </c>
      <c r="AA468" s="88"/>
      <c r="AB468" s="88"/>
      <c r="AC468" s="92">
        <v>45952.865972222222</v>
      </c>
    </row>
    <row r="469" spans="1:29" customFormat="1" ht="16" x14ac:dyDescent="0.2">
      <c r="A469" s="90" t="s">
        <v>0</v>
      </c>
      <c r="B469" s="90" t="s">
        <v>132</v>
      </c>
      <c r="C469" s="90" t="s">
        <v>733</v>
      </c>
      <c r="D469" s="91">
        <v>32973</v>
      </c>
      <c r="E469" s="90">
        <v>35</v>
      </c>
      <c r="F469" s="90" t="s">
        <v>11</v>
      </c>
      <c r="G469" s="90" t="s">
        <v>10</v>
      </c>
      <c r="H469" s="90" t="s">
        <v>10</v>
      </c>
      <c r="I469" s="91">
        <v>43617</v>
      </c>
      <c r="J469" s="90" t="s">
        <v>734</v>
      </c>
      <c r="K469" s="90" t="s">
        <v>735</v>
      </c>
      <c r="L469" s="90" t="s">
        <v>4</v>
      </c>
      <c r="M469" s="90" t="s">
        <v>6</v>
      </c>
      <c r="N469" s="90" t="s">
        <v>120</v>
      </c>
      <c r="O469" s="91">
        <v>45636</v>
      </c>
      <c r="P469" s="91">
        <v>45637</v>
      </c>
      <c r="Q469" s="91">
        <v>45638</v>
      </c>
      <c r="R469" s="91">
        <v>45666</v>
      </c>
      <c r="S469" s="91">
        <v>45705</v>
      </c>
      <c r="T469" s="88"/>
      <c r="U469" s="88"/>
      <c r="V469" s="90" t="s">
        <v>32</v>
      </c>
      <c r="W469" s="90">
        <v>4</v>
      </c>
      <c r="X469" s="90" t="s">
        <v>228</v>
      </c>
      <c r="Y469" s="91">
        <v>45689</v>
      </c>
      <c r="Z469" s="91">
        <v>45869</v>
      </c>
      <c r="AA469" s="91">
        <v>45870</v>
      </c>
      <c r="AB469" s="91">
        <v>45991</v>
      </c>
      <c r="AC469" s="92">
        <v>45863.325694444444</v>
      </c>
    </row>
    <row r="470" spans="1:29" customFormat="1" ht="16" x14ac:dyDescent="0.2">
      <c r="A470" s="90" t="s">
        <v>1</v>
      </c>
      <c r="B470" s="90" t="s">
        <v>736</v>
      </c>
      <c r="C470" s="90" t="s">
        <v>737</v>
      </c>
      <c r="D470" s="91">
        <v>23208</v>
      </c>
      <c r="E470" s="90">
        <v>62</v>
      </c>
      <c r="F470" s="90" t="s">
        <v>11</v>
      </c>
      <c r="G470" s="90" t="s">
        <v>10</v>
      </c>
      <c r="H470" s="90" t="s">
        <v>10</v>
      </c>
      <c r="I470" s="91">
        <v>43709</v>
      </c>
      <c r="J470" s="90" t="s">
        <v>331</v>
      </c>
      <c r="K470" s="90" t="s">
        <v>332</v>
      </c>
      <c r="L470" s="90" t="s">
        <v>3</v>
      </c>
      <c r="M470" s="90" t="s">
        <v>6</v>
      </c>
      <c r="N470" s="90" t="s">
        <v>117</v>
      </c>
      <c r="O470" s="91">
        <v>45636</v>
      </c>
      <c r="P470" s="91">
        <v>45636</v>
      </c>
      <c r="Q470" s="91">
        <v>45638</v>
      </c>
      <c r="R470" s="91">
        <v>45670</v>
      </c>
      <c r="S470" s="91">
        <v>45670</v>
      </c>
      <c r="T470" s="91">
        <v>45747</v>
      </c>
      <c r="U470" s="90" t="s">
        <v>92</v>
      </c>
      <c r="V470" s="90" t="s">
        <v>224</v>
      </c>
      <c r="W470" s="90">
        <v>1</v>
      </c>
      <c r="X470" s="90" t="s">
        <v>118</v>
      </c>
      <c r="Y470" s="91">
        <v>45658</v>
      </c>
      <c r="Z470" s="91">
        <v>45838</v>
      </c>
      <c r="AA470" s="88"/>
      <c r="AB470" s="88"/>
      <c r="AC470" s="92">
        <v>45874.541666666664</v>
      </c>
    </row>
    <row r="471" spans="1:29" customFormat="1" ht="16" x14ac:dyDescent="0.2">
      <c r="A471" s="90" t="s">
        <v>0</v>
      </c>
      <c r="B471" s="90" t="s">
        <v>443</v>
      </c>
      <c r="C471" s="90" t="s">
        <v>444</v>
      </c>
      <c r="D471" s="91">
        <v>32903</v>
      </c>
      <c r="E471" s="90">
        <v>35</v>
      </c>
      <c r="F471" s="90" t="s">
        <v>11</v>
      </c>
      <c r="G471" s="90" t="s">
        <v>10</v>
      </c>
      <c r="H471" s="90" t="s">
        <v>10</v>
      </c>
      <c r="I471" s="91">
        <v>43709</v>
      </c>
      <c r="J471" s="90" t="s">
        <v>257</v>
      </c>
      <c r="K471" s="90" t="s">
        <v>496</v>
      </c>
      <c r="L471" s="90" t="s">
        <v>3</v>
      </c>
      <c r="M471" s="90" t="s">
        <v>6</v>
      </c>
      <c r="N471" s="90" t="s">
        <v>119</v>
      </c>
      <c r="O471" s="91">
        <v>45636</v>
      </c>
      <c r="P471" s="91">
        <v>45636</v>
      </c>
      <c r="Q471" s="91">
        <v>45638</v>
      </c>
      <c r="R471" s="91">
        <v>45665</v>
      </c>
      <c r="S471" s="91">
        <v>45665</v>
      </c>
      <c r="T471" s="91">
        <v>45853</v>
      </c>
      <c r="U471" s="90" t="s">
        <v>320</v>
      </c>
      <c r="V471" s="90" t="s">
        <v>224</v>
      </c>
      <c r="W471" s="90">
        <v>1</v>
      </c>
      <c r="X471" s="90" t="s">
        <v>118</v>
      </c>
      <c r="Y471" s="91">
        <v>45778</v>
      </c>
      <c r="Z471" s="91">
        <v>45838</v>
      </c>
      <c r="AA471" s="88"/>
      <c r="AB471" s="88"/>
      <c r="AC471" s="92">
        <v>45874.469444444447</v>
      </c>
    </row>
    <row r="472" spans="1:29" customFormat="1" ht="16" x14ac:dyDescent="0.2">
      <c r="A472" s="90" t="s">
        <v>0</v>
      </c>
      <c r="B472" s="90" t="s">
        <v>394</v>
      </c>
      <c r="C472" s="90" t="s">
        <v>738</v>
      </c>
      <c r="D472" s="91">
        <v>23698</v>
      </c>
      <c r="E472" s="90">
        <v>61</v>
      </c>
      <c r="F472" s="90" t="s">
        <v>10</v>
      </c>
      <c r="G472" s="90" t="s">
        <v>11</v>
      </c>
      <c r="H472" s="90" t="s">
        <v>10</v>
      </c>
      <c r="I472" s="88"/>
      <c r="J472" s="90" t="s">
        <v>739</v>
      </c>
      <c r="K472" s="90" t="s">
        <v>740</v>
      </c>
      <c r="L472" s="90" t="s">
        <v>7</v>
      </c>
      <c r="M472" s="90" t="s">
        <v>6</v>
      </c>
      <c r="N472" s="90" t="s">
        <v>120</v>
      </c>
      <c r="O472" s="91">
        <v>45636</v>
      </c>
      <c r="P472" s="91">
        <v>45643</v>
      </c>
      <c r="Q472" s="91">
        <v>45645</v>
      </c>
      <c r="R472" s="91">
        <v>45673</v>
      </c>
      <c r="S472" s="91">
        <v>45673</v>
      </c>
      <c r="T472" s="91">
        <v>45853</v>
      </c>
      <c r="U472" s="90" t="s">
        <v>1114</v>
      </c>
      <c r="V472" s="90" t="s">
        <v>224</v>
      </c>
      <c r="W472" s="90">
        <v>3</v>
      </c>
      <c r="X472" s="90" t="s">
        <v>228</v>
      </c>
      <c r="Y472" s="91">
        <v>45658</v>
      </c>
      <c r="Z472" s="91">
        <v>45839</v>
      </c>
      <c r="AA472" s="88"/>
      <c r="AB472" s="88"/>
      <c r="AC472" s="92">
        <v>45952.833333333336</v>
      </c>
    </row>
    <row r="473" spans="1:29" customFormat="1" ht="16" x14ac:dyDescent="0.2">
      <c r="A473" s="90" t="s">
        <v>1</v>
      </c>
      <c r="B473" s="90" t="s">
        <v>743</v>
      </c>
      <c r="C473" s="90" t="s">
        <v>744</v>
      </c>
      <c r="D473" s="91">
        <v>23386</v>
      </c>
      <c r="E473" s="90">
        <v>61</v>
      </c>
      <c r="F473" s="90" t="s">
        <v>11</v>
      </c>
      <c r="G473" s="90" t="s">
        <v>10</v>
      </c>
      <c r="H473" s="90" t="s">
        <v>10</v>
      </c>
      <c r="I473" s="91">
        <v>43922</v>
      </c>
      <c r="J473" s="90" t="s">
        <v>565</v>
      </c>
      <c r="K473" s="90" t="s">
        <v>742</v>
      </c>
      <c r="L473" s="90" t="s">
        <v>7</v>
      </c>
      <c r="M473" s="90" t="s">
        <v>6</v>
      </c>
      <c r="N473" s="90" t="s">
        <v>119</v>
      </c>
      <c r="O473" s="91">
        <v>45635</v>
      </c>
      <c r="P473" s="91">
        <v>45636</v>
      </c>
      <c r="Q473" s="91">
        <v>45636</v>
      </c>
      <c r="R473" s="91">
        <v>45645</v>
      </c>
      <c r="S473" s="91">
        <v>45645</v>
      </c>
      <c r="T473" s="91">
        <v>45803</v>
      </c>
      <c r="U473" s="90" t="s">
        <v>407</v>
      </c>
      <c r="V473" s="90" t="s">
        <v>224</v>
      </c>
      <c r="W473" s="90">
        <v>2</v>
      </c>
      <c r="X473" s="90" t="s">
        <v>228</v>
      </c>
      <c r="Y473" s="91">
        <v>45627</v>
      </c>
      <c r="Z473" s="91">
        <v>45808</v>
      </c>
      <c r="AA473" s="88"/>
      <c r="AB473" s="88"/>
      <c r="AC473" s="92">
        <v>45803.739583333336</v>
      </c>
    </row>
    <row r="474" spans="1:29" customFormat="1" ht="16" x14ac:dyDescent="0.2">
      <c r="A474" s="90" t="s">
        <v>0</v>
      </c>
      <c r="B474" s="90" t="s">
        <v>424</v>
      </c>
      <c r="C474" s="90" t="s">
        <v>741</v>
      </c>
      <c r="D474" s="91">
        <v>25941</v>
      </c>
      <c r="E474" s="90">
        <v>54</v>
      </c>
      <c r="F474" s="90" t="s">
        <v>10</v>
      </c>
      <c r="G474" s="90" t="s">
        <v>10</v>
      </c>
      <c r="H474" s="90" t="s">
        <v>10</v>
      </c>
      <c r="I474" s="91">
        <v>43922</v>
      </c>
      <c r="J474" s="90" t="s">
        <v>565</v>
      </c>
      <c r="K474" s="90" t="s">
        <v>742</v>
      </c>
      <c r="L474" s="90" t="s">
        <v>7</v>
      </c>
      <c r="M474" s="90" t="s">
        <v>6</v>
      </c>
      <c r="N474" s="90" t="s">
        <v>120</v>
      </c>
      <c r="O474" s="91">
        <v>45635</v>
      </c>
      <c r="P474" s="91">
        <v>45636</v>
      </c>
      <c r="Q474" s="91">
        <v>45636</v>
      </c>
      <c r="R474" s="91">
        <v>45701</v>
      </c>
      <c r="S474" s="91">
        <v>45708</v>
      </c>
      <c r="T474" s="91">
        <v>45876</v>
      </c>
      <c r="U474" s="90" t="s">
        <v>319</v>
      </c>
      <c r="V474" s="90" t="s">
        <v>224</v>
      </c>
      <c r="W474" s="90">
        <v>1</v>
      </c>
      <c r="X474" s="90" t="s">
        <v>228</v>
      </c>
      <c r="Y474" s="91">
        <v>45689</v>
      </c>
      <c r="Z474" s="91">
        <v>45869</v>
      </c>
      <c r="AA474" s="88"/>
      <c r="AB474" s="88"/>
      <c r="AC474" s="92">
        <v>45876.363888888889</v>
      </c>
    </row>
    <row r="475" spans="1:29" customFormat="1" ht="16" x14ac:dyDescent="0.2">
      <c r="A475" s="90" t="s">
        <v>1</v>
      </c>
      <c r="B475" s="90" t="s">
        <v>385</v>
      </c>
      <c r="C475" s="90" t="s">
        <v>386</v>
      </c>
      <c r="D475" s="91">
        <v>31008</v>
      </c>
      <c r="E475" s="90">
        <v>41</v>
      </c>
      <c r="F475" s="90" t="s">
        <v>11</v>
      </c>
      <c r="G475" s="90" t="s">
        <v>11</v>
      </c>
      <c r="H475" s="90" t="s">
        <v>10</v>
      </c>
      <c r="I475" s="91">
        <v>43070</v>
      </c>
      <c r="J475" s="90" t="s">
        <v>151</v>
      </c>
      <c r="K475" s="90" t="s">
        <v>152</v>
      </c>
      <c r="L475" s="90" t="s">
        <v>3</v>
      </c>
      <c r="M475" s="90" t="s">
        <v>6</v>
      </c>
      <c r="N475" s="90" t="s">
        <v>119</v>
      </c>
      <c r="O475" s="91">
        <v>45635</v>
      </c>
      <c r="P475" s="91">
        <v>45636</v>
      </c>
      <c r="Q475" s="91">
        <v>45638</v>
      </c>
      <c r="R475" s="91">
        <v>45644</v>
      </c>
      <c r="S475" s="91">
        <v>45644</v>
      </c>
      <c r="T475" s="91">
        <v>45791</v>
      </c>
      <c r="U475" s="90" t="s">
        <v>218</v>
      </c>
      <c r="V475" s="90" t="s">
        <v>224</v>
      </c>
      <c r="W475" s="90">
        <v>1</v>
      </c>
      <c r="X475" s="90" t="s">
        <v>118</v>
      </c>
      <c r="Y475" s="91">
        <v>45627</v>
      </c>
      <c r="Z475" s="91">
        <v>45809</v>
      </c>
      <c r="AA475" s="88"/>
      <c r="AB475" s="88"/>
      <c r="AC475" s="92">
        <v>45791.459722222222</v>
      </c>
    </row>
    <row r="476" spans="1:29" customFormat="1" ht="16" x14ac:dyDescent="0.2">
      <c r="A476" s="90" t="s">
        <v>0</v>
      </c>
      <c r="B476" s="90" t="s">
        <v>585</v>
      </c>
      <c r="C476" s="90" t="s">
        <v>720</v>
      </c>
      <c r="D476" s="91">
        <v>30385</v>
      </c>
      <c r="E476" s="90">
        <v>42</v>
      </c>
      <c r="F476" s="90" t="s">
        <v>11</v>
      </c>
      <c r="G476" s="90" t="s">
        <v>11</v>
      </c>
      <c r="H476" s="90" t="s">
        <v>10</v>
      </c>
      <c r="I476" s="91">
        <v>41153</v>
      </c>
      <c r="J476" s="90" t="s">
        <v>105</v>
      </c>
      <c r="K476" s="90" t="s">
        <v>106</v>
      </c>
      <c r="L476" s="90" t="s">
        <v>7</v>
      </c>
      <c r="M476" s="90" t="s">
        <v>6</v>
      </c>
      <c r="N476" s="90" t="s">
        <v>120</v>
      </c>
      <c r="O476" s="91">
        <v>45632</v>
      </c>
      <c r="P476" s="91">
        <v>45635</v>
      </c>
      <c r="Q476" s="91">
        <v>45636</v>
      </c>
      <c r="R476" s="91">
        <v>45666</v>
      </c>
      <c r="S476" s="91">
        <v>45666</v>
      </c>
      <c r="T476" s="88"/>
      <c r="U476" s="88"/>
      <c r="V476" s="90" t="s">
        <v>32</v>
      </c>
      <c r="W476" s="90">
        <v>4</v>
      </c>
      <c r="X476" s="90" t="s">
        <v>228</v>
      </c>
      <c r="Y476" s="91">
        <v>45658</v>
      </c>
      <c r="Z476" s="91">
        <v>45838</v>
      </c>
      <c r="AA476" s="91">
        <v>45839</v>
      </c>
      <c r="AB476" s="91">
        <v>45991</v>
      </c>
      <c r="AC476" s="92">
        <v>45887.590277777781</v>
      </c>
    </row>
    <row r="477" spans="1:29" customFormat="1" ht="16" x14ac:dyDescent="0.2">
      <c r="A477" s="90" t="s">
        <v>1</v>
      </c>
      <c r="B477" s="90" t="s">
        <v>313</v>
      </c>
      <c r="C477" s="90" t="s">
        <v>719</v>
      </c>
      <c r="D477" s="91">
        <v>36497</v>
      </c>
      <c r="E477" s="90">
        <v>26</v>
      </c>
      <c r="F477" s="88"/>
      <c r="G477" s="90" t="s">
        <v>11</v>
      </c>
      <c r="H477" s="90" t="s">
        <v>11</v>
      </c>
      <c r="I477" s="88"/>
      <c r="J477" s="90" t="s">
        <v>351</v>
      </c>
      <c r="K477" s="90" t="s">
        <v>391</v>
      </c>
      <c r="L477" s="90" t="s">
        <v>7</v>
      </c>
      <c r="M477" s="90" t="s">
        <v>9</v>
      </c>
      <c r="N477" s="90" t="s">
        <v>225</v>
      </c>
      <c r="O477" s="91">
        <v>45629</v>
      </c>
      <c r="P477" s="91">
        <v>45632</v>
      </c>
      <c r="Q477" s="91">
        <v>45632</v>
      </c>
      <c r="R477" s="91">
        <v>45636</v>
      </c>
      <c r="S477" s="91">
        <v>45646</v>
      </c>
      <c r="T477" s="91">
        <v>45709</v>
      </c>
      <c r="U477" s="90" t="s">
        <v>60</v>
      </c>
      <c r="V477" s="90" t="s">
        <v>224</v>
      </c>
      <c r="W477" s="90">
        <v>3</v>
      </c>
      <c r="X477" s="90" t="s">
        <v>763</v>
      </c>
      <c r="Y477" s="91">
        <v>45627</v>
      </c>
      <c r="Z477" s="91">
        <v>45808</v>
      </c>
      <c r="AA477" s="88"/>
      <c r="AB477" s="88"/>
      <c r="AC477" s="92">
        <v>45921.613194444442</v>
      </c>
    </row>
    <row r="478" spans="1:29" customFormat="1" ht="16" x14ac:dyDescent="0.2">
      <c r="A478" s="90" t="s">
        <v>0</v>
      </c>
      <c r="B478" s="90" t="s">
        <v>721</v>
      </c>
      <c r="C478" s="90" t="s">
        <v>722</v>
      </c>
      <c r="D478" s="91">
        <v>29952</v>
      </c>
      <c r="E478" s="90">
        <v>43</v>
      </c>
      <c r="F478" s="90" t="s">
        <v>11</v>
      </c>
      <c r="G478" s="90" t="s">
        <v>10</v>
      </c>
      <c r="H478" s="90" t="s">
        <v>10</v>
      </c>
      <c r="I478" s="91">
        <v>43344</v>
      </c>
      <c r="J478" s="90" t="s">
        <v>491</v>
      </c>
      <c r="K478" s="90" t="s">
        <v>430</v>
      </c>
      <c r="L478" s="90" t="s">
        <v>7</v>
      </c>
      <c r="M478" s="90" t="s">
        <v>396</v>
      </c>
      <c r="N478" s="90" t="s">
        <v>117</v>
      </c>
      <c r="O478" s="91">
        <v>45632</v>
      </c>
      <c r="P478" s="91">
        <v>45681</v>
      </c>
      <c r="Q478" s="91">
        <v>45684</v>
      </c>
      <c r="R478" s="91">
        <v>45695</v>
      </c>
      <c r="S478" s="91">
        <v>45695</v>
      </c>
      <c r="T478" s="91">
        <v>45818</v>
      </c>
      <c r="U478" s="90" t="s">
        <v>319</v>
      </c>
      <c r="V478" s="90" t="s">
        <v>224</v>
      </c>
      <c r="W478" s="90">
        <v>2</v>
      </c>
      <c r="X478" s="90" t="s">
        <v>228</v>
      </c>
      <c r="Y478" s="91">
        <v>45689</v>
      </c>
      <c r="Z478" s="91">
        <v>45869</v>
      </c>
      <c r="AA478" s="88"/>
      <c r="AB478" s="88"/>
      <c r="AC478" s="92">
        <v>45952.829861111109</v>
      </c>
    </row>
    <row r="479" spans="1:29" customFormat="1" ht="16" x14ac:dyDescent="0.2">
      <c r="A479" s="90" t="s">
        <v>1</v>
      </c>
      <c r="B479" s="90" t="s">
        <v>353</v>
      </c>
      <c r="C479" s="90" t="s">
        <v>723</v>
      </c>
      <c r="D479" s="91">
        <v>24814</v>
      </c>
      <c r="E479" s="90">
        <v>58</v>
      </c>
      <c r="F479" s="90" t="s">
        <v>10</v>
      </c>
      <c r="G479" s="90" t="s">
        <v>11</v>
      </c>
      <c r="H479" s="90" t="s">
        <v>10</v>
      </c>
      <c r="I479" s="91">
        <v>45536</v>
      </c>
      <c r="J479" s="90" t="s">
        <v>110</v>
      </c>
      <c r="K479" s="90" t="s">
        <v>128</v>
      </c>
      <c r="L479" s="90" t="s">
        <v>7</v>
      </c>
      <c r="M479" s="90" t="s">
        <v>6</v>
      </c>
      <c r="N479" s="90" t="s">
        <v>117</v>
      </c>
      <c r="O479" s="91">
        <v>45632</v>
      </c>
      <c r="P479" s="91">
        <v>45723</v>
      </c>
      <c r="Q479" s="91">
        <v>45636</v>
      </c>
      <c r="R479" s="91">
        <v>45636</v>
      </c>
      <c r="S479" s="91">
        <v>45646</v>
      </c>
      <c r="T479" s="91">
        <v>45721</v>
      </c>
      <c r="U479" s="90" t="s">
        <v>219</v>
      </c>
      <c r="V479" s="90" t="s">
        <v>224</v>
      </c>
      <c r="W479" s="90">
        <v>3</v>
      </c>
      <c r="X479" s="90" t="s">
        <v>763</v>
      </c>
      <c r="Y479" s="91">
        <v>45658</v>
      </c>
      <c r="Z479" s="91">
        <v>45838</v>
      </c>
      <c r="AA479" s="88"/>
      <c r="AB479" s="88"/>
      <c r="AC479" s="92">
        <v>45723.573611111111</v>
      </c>
    </row>
    <row r="480" spans="1:29" customFormat="1" ht="16" x14ac:dyDescent="0.2">
      <c r="A480" s="90" t="s">
        <v>0</v>
      </c>
      <c r="B480" s="90" t="s">
        <v>724</v>
      </c>
      <c r="C480" s="90" t="s">
        <v>236</v>
      </c>
      <c r="D480" s="91">
        <v>26282</v>
      </c>
      <c r="E480" s="90">
        <v>54</v>
      </c>
      <c r="F480" s="90" t="s">
        <v>10</v>
      </c>
      <c r="G480" s="90" t="s">
        <v>11</v>
      </c>
      <c r="H480" s="90" t="s">
        <v>10</v>
      </c>
      <c r="I480" s="88"/>
      <c r="J480" s="90" t="s">
        <v>107</v>
      </c>
      <c r="K480" s="90" t="s">
        <v>108</v>
      </c>
      <c r="L480" s="90" t="s">
        <v>7</v>
      </c>
      <c r="M480" s="90" t="s">
        <v>6</v>
      </c>
      <c r="N480" s="90" t="s">
        <v>119</v>
      </c>
      <c r="O480" s="91">
        <v>45631</v>
      </c>
      <c r="P480" s="91">
        <v>45631</v>
      </c>
      <c r="Q480" s="91">
        <v>45632</v>
      </c>
      <c r="R480" s="91">
        <v>45645</v>
      </c>
      <c r="S480" s="91">
        <v>45645</v>
      </c>
      <c r="T480" s="91">
        <v>45853</v>
      </c>
      <c r="U480" s="90" t="s">
        <v>408</v>
      </c>
      <c r="V480" s="90" t="s">
        <v>224</v>
      </c>
      <c r="W480" s="90">
        <v>5</v>
      </c>
      <c r="X480" s="90" t="s">
        <v>228</v>
      </c>
      <c r="Y480" s="91">
        <v>45627</v>
      </c>
      <c r="Z480" s="91">
        <v>45808</v>
      </c>
      <c r="AA480" s="88"/>
      <c r="AB480" s="88"/>
      <c r="AC480" s="92">
        <v>45952.834027777775</v>
      </c>
    </row>
    <row r="481" spans="1:29" customFormat="1" ht="16" x14ac:dyDescent="0.2">
      <c r="A481" s="90" t="s">
        <v>0</v>
      </c>
      <c r="B481" s="90" t="s">
        <v>713</v>
      </c>
      <c r="C481" s="90" t="s">
        <v>714</v>
      </c>
      <c r="D481" s="91">
        <v>27946</v>
      </c>
      <c r="E481" s="90">
        <v>49</v>
      </c>
      <c r="F481" s="90" t="s">
        <v>11</v>
      </c>
      <c r="G481" s="90" t="s">
        <v>11</v>
      </c>
      <c r="H481" s="90" t="s">
        <v>10</v>
      </c>
      <c r="I481" s="91">
        <v>45566</v>
      </c>
      <c r="J481" s="90" t="s">
        <v>256</v>
      </c>
      <c r="K481" s="90" t="s">
        <v>715</v>
      </c>
      <c r="L481" s="90" t="s">
        <v>4</v>
      </c>
      <c r="M481" s="90" t="s">
        <v>6</v>
      </c>
      <c r="N481" s="88"/>
      <c r="O481" s="91">
        <v>45630</v>
      </c>
      <c r="P481" s="91">
        <v>45630</v>
      </c>
      <c r="Q481" s="91">
        <v>45639</v>
      </c>
      <c r="R481" s="88"/>
      <c r="S481" s="91">
        <v>45639</v>
      </c>
      <c r="T481" s="91">
        <v>45639</v>
      </c>
      <c r="U481" s="90" t="s">
        <v>712</v>
      </c>
      <c r="V481" s="90" t="s">
        <v>224</v>
      </c>
      <c r="W481" s="90">
        <v>0</v>
      </c>
      <c r="X481" s="88"/>
      <c r="Y481" s="88"/>
      <c r="Z481" s="88"/>
      <c r="AA481" s="88"/>
      <c r="AB481" s="88"/>
      <c r="AC481" s="92">
        <v>45921.425000000003</v>
      </c>
    </row>
    <row r="482" spans="1:29" customFormat="1" ht="16" x14ac:dyDescent="0.2">
      <c r="A482" s="90" t="s">
        <v>1</v>
      </c>
      <c r="B482" s="90" t="s">
        <v>309</v>
      </c>
      <c r="C482" s="90" t="s">
        <v>422</v>
      </c>
      <c r="D482" s="91">
        <v>32888</v>
      </c>
      <c r="E482" s="90">
        <v>35</v>
      </c>
      <c r="F482" s="90" t="s">
        <v>10</v>
      </c>
      <c r="G482" s="90" t="s">
        <v>11</v>
      </c>
      <c r="H482" s="90" t="s">
        <v>10</v>
      </c>
      <c r="I482" s="91">
        <v>45017</v>
      </c>
      <c r="J482" s="90" t="s">
        <v>200</v>
      </c>
      <c r="K482" s="90" t="s">
        <v>201</v>
      </c>
      <c r="L482" s="90" t="s">
        <v>3</v>
      </c>
      <c r="M482" s="90" t="s">
        <v>6</v>
      </c>
      <c r="N482" s="90" t="s">
        <v>119</v>
      </c>
      <c r="O482" s="91">
        <v>45630</v>
      </c>
      <c r="P482" s="91">
        <v>45631</v>
      </c>
      <c r="Q482" s="91">
        <v>45632</v>
      </c>
      <c r="R482" s="91">
        <v>45642</v>
      </c>
      <c r="S482" s="91">
        <v>45642</v>
      </c>
      <c r="T482" s="91">
        <v>45812</v>
      </c>
      <c r="U482" s="90" t="s">
        <v>67</v>
      </c>
      <c r="V482" s="90" t="s">
        <v>224</v>
      </c>
      <c r="W482" s="90">
        <v>1</v>
      </c>
      <c r="X482" s="90" t="s">
        <v>118</v>
      </c>
      <c r="Y482" s="88"/>
      <c r="Z482" s="88"/>
      <c r="AA482" s="88"/>
      <c r="AB482" s="88"/>
      <c r="AC482" s="92">
        <v>45825.673611111109</v>
      </c>
    </row>
    <row r="483" spans="1:29" customFormat="1" ht="16" x14ac:dyDescent="0.2">
      <c r="A483" s="90" t="s">
        <v>0</v>
      </c>
      <c r="B483" s="90" t="s">
        <v>716</v>
      </c>
      <c r="C483" s="90" t="s">
        <v>717</v>
      </c>
      <c r="D483" s="91">
        <v>22725</v>
      </c>
      <c r="E483" s="90">
        <v>63</v>
      </c>
      <c r="F483" s="90" t="s">
        <v>11</v>
      </c>
      <c r="G483" s="90" t="s">
        <v>11</v>
      </c>
      <c r="H483" s="90" t="s">
        <v>10</v>
      </c>
      <c r="I483" s="91">
        <v>41000</v>
      </c>
      <c r="J483" s="90" t="s">
        <v>566</v>
      </c>
      <c r="K483" s="90" t="s">
        <v>718</v>
      </c>
      <c r="L483" s="90" t="s">
        <v>7</v>
      </c>
      <c r="M483" s="90" t="s">
        <v>6</v>
      </c>
      <c r="N483" s="90" t="s">
        <v>121</v>
      </c>
      <c r="O483" s="91">
        <v>45630</v>
      </c>
      <c r="P483" s="91">
        <v>45631</v>
      </c>
      <c r="Q483" s="91">
        <v>45635</v>
      </c>
      <c r="R483" s="91">
        <v>45645</v>
      </c>
      <c r="S483" s="91">
        <v>45645</v>
      </c>
      <c r="T483" s="91">
        <v>45808</v>
      </c>
      <c r="U483" s="90" t="s">
        <v>319</v>
      </c>
      <c r="V483" s="90" t="s">
        <v>224</v>
      </c>
      <c r="W483" s="90">
        <v>1</v>
      </c>
      <c r="X483" s="90" t="s">
        <v>228</v>
      </c>
      <c r="Y483" s="91">
        <v>45627</v>
      </c>
      <c r="Z483" s="91">
        <v>45808</v>
      </c>
      <c r="AA483" s="88"/>
      <c r="AB483" s="88"/>
      <c r="AC483" s="92">
        <v>45809.906944444447</v>
      </c>
    </row>
    <row r="484" spans="1:29" ht="16" x14ac:dyDescent="0.2">
      <c r="A484" s="90" t="s">
        <v>1</v>
      </c>
      <c r="B484" s="90" t="s">
        <v>711</v>
      </c>
      <c r="C484" s="90" t="s">
        <v>543</v>
      </c>
      <c r="D484" s="91">
        <v>28023</v>
      </c>
      <c r="E484" s="90">
        <v>49</v>
      </c>
      <c r="F484" s="90" t="s">
        <v>11</v>
      </c>
      <c r="G484" s="90" t="s">
        <v>11</v>
      </c>
      <c r="H484" s="90" t="s">
        <v>10</v>
      </c>
      <c r="I484" s="91">
        <v>39965</v>
      </c>
      <c r="J484" s="90" t="s">
        <v>273</v>
      </c>
      <c r="K484" s="90" t="s">
        <v>510</v>
      </c>
      <c r="L484" s="90" t="s">
        <v>7</v>
      </c>
      <c r="M484" s="90" t="s">
        <v>6</v>
      </c>
      <c r="N484" s="90" t="s">
        <v>226</v>
      </c>
      <c r="O484" s="91">
        <v>45628</v>
      </c>
      <c r="P484" s="91">
        <v>45629</v>
      </c>
      <c r="Q484" s="91">
        <v>45632</v>
      </c>
      <c r="R484" s="91">
        <v>45638</v>
      </c>
      <c r="S484" s="91">
        <v>45670</v>
      </c>
      <c r="T484" s="91">
        <v>45818</v>
      </c>
      <c r="U484" s="90" t="s">
        <v>218</v>
      </c>
      <c r="V484" s="90" t="s">
        <v>224</v>
      </c>
      <c r="W484" s="90">
        <v>3</v>
      </c>
      <c r="X484" s="90" t="s">
        <v>228</v>
      </c>
      <c r="Y484" s="91">
        <v>45658</v>
      </c>
      <c r="Z484" s="91">
        <v>45839</v>
      </c>
      <c r="AA484" s="88"/>
      <c r="AB484" s="88"/>
      <c r="AC484" s="92">
        <v>45818.502083333333</v>
      </c>
    </row>
    <row r="485" spans="1:29" ht="16" x14ac:dyDescent="0.2">
      <c r="A485" s="90" t="s">
        <v>0</v>
      </c>
      <c r="B485" s="90" t="s">
        <v>109</v>
      </c>
      <c r="C485" s="90" t="s">
        <v>709</v>
      </c>
      <c r="D485" s="91">
        <v>28477</v>
      </c>
      <c r="E485" s="90">
        <v>48</v>
      </c>
      <c r="F485" s="90" t="s">
        <v>11</v>
      </c>
      <c r="G485" s="90" t="s">
        <v>11</v>
      </c>
      <c r="H485" s="90" t="s">
        <v>10</v>
      </c>
      <c r="I485" s="91">
        <v>41852</v>
      </c>
      <c r="J485" s="90" t="s">
        <v>253</v>
      </c>
      <c r="K485" s="90" t="s">
        <v>254</v>
      </c>
      <c r="L485" s="90" t="s">
        <v>7</v>
      </c>
      <c r="M485" s="90" t="s">
        <v>6</v>
      </c>
      <c r="N485" s="90" t="s">
        <v>225</v>
      </c>
      <c r="O485" s="91">
        <v>45625</v>
      </c>
      <c r="P485" s="91">
        <v>45630</v>
      </c>
      <c r="Q485" s="91">
        <v>45635</v>
      </c>
      <c r="R485" s="91">
        <v>45638</v>
      </c>
      <c r="S485" s="91">
        <v>45708</v>
      </c>
      <c r="T485" s="91">
        <v>45855</v>
      </c>
      <c r="U485" s="90" t="s">
        <v>319</v>
      </c>
      <c r="V485" s="90" t="s">
        <v>224</v>
      </c>
      <c r="W485" s="90">
        <v>1</v>
      </c>
      <c r="X485" s="90" t="s">
        <v>708</v>
      </c>
      <c r="Y485" s="91">
        <v>45689</v>
      </c>
      <c r="Z485" s="91">
        <v>45869</v>
      </c>
      <c r="AA485" s="88"/>
      <c r="AB485" s="88"/>
      <c r="AC485" s="92">
        <v>45855.731249999997</v>
      </c>
    </row>
    <row r="486" spans="1:29" x14ac:dyDescent="0.2">
      <c r="A486" s="90" t="s">
        <v>1</v>
      </c>
      <c r="B486" s="90" t="s">
        <v>710</v>
      </c>
      <c r="C486" s="90" t="s">
        <v>393</v>
      </c>
      <c r="D486" s="91">
        <v>24101</v>
      </c>
      <c r="E486" s="90">
        <v>60</v>
      </c>
      <c r="F486" s="90" t="s">
        <v>11</v>
      </c>
      <c r="G486" s="90" t="s">
        <v>11</v>
      </c>
      <c r="H486" s="90" t="s">
        <v>10</v>
      </c>
      <c r="I486" s="91">
        <v>45139</v>
      </c>
      <c r="J486" s="90" t="s">
        <v>273</v>
      </c>
      <c r="K486" s="90" t="s">
        <v>195</v>
      </c>
      <c r="L486" s="90" t="s">
        <v>5</v>
      </c>
      <c r="M486" s="90" t="s">
        <v>6</v>
      </c>
      <c r="N486" s="90" t="s">
        <v>119</v>
      </c>
      <c r="O486" s="91">
        <v>45625</v>
      </c>
      <c r="P486" s="91">
        <v>45625</v>
      </c>
      <c r="Q486" s="91">
        <v>45625</v>
      </c>
      <c r="R486" s="91">
        <v>45630</v>
      </c>
      <c r="S486" s="91">
        <v>45693</v>
      </c>
      <c r="T486" s="91">
        <v>45920</v>
      </c>
      <c r="U486" s="90" t="s">
        <v>1114</v>
      </c>
      <c r="V486" s="90" t="s">
        <v>224</v>
      </c>
      <c r="W486" s="90">
        <v>2</v>
      </c>
      <c r="X486" s="90" t="s">
        <v>228</v>
      </c>
      <c r="Y486" s="91">
        <v>45689</v>
      </c>
      <c r="Z486" s="91">
        <v>45869</v>
      </c>
      <c r="AA486" s="91">
        <v>45870</v>
      </c>
      <c r="AB486" s="91">
        <v>45930</v>
      </c>
      <c r="AC486" s="92">
        <v>45953.475694444445</v>
      </c>
    </row>
    <row r="487" spans="1:29" ht="16" x14ac:dyDescent="0.2">
      <c r="A487" s="90" t="s">
        <v>1</v>
      </c>
      <c r="B487" s="90" t="s">
        <v>701</v>
      </c>
      <c r="C487" s="90" t="s">
        <v>702</v>
      </c>
      <c r="D487" s="91">
        <v>28146</v>
      </c>
      <c r="E487" s="90">
        <v>48</v>
      </c>
      <c r="F487" s="90" t="s">
        <v>10</v>
      </c>
      <c r="G487" s="90" t="s">
        <v>10</v>
      </c>
      <c r="H487" s="90" t="s">
        <v>10</v>
      </c>
      <c r="I487" s="88"/>
      <c r="J487" s="90" t="s">
        <v>310</v>
      </c>
      <c r="K487" s="90" t="s">
        <v>703</v>
      </c>
      <c r="L487" s="90" t="s">
        <v>5</v>
      </c>
      <c r="M487" s="90" t="s">
        <v>6</v>
      </c>
      <c r="N487" s="90" t="s">
        <v>119</v>
      </c>
      <c r="O487" s="91">
        <v>45624</v>
      </c>
      <c r="P487" s="91">
        <v>45625</v>
      </c>
      <c r="Q487" s="91">
        <v>45625</v>
      </c>
      <c r="R487" s="91">
        <v>45631</v>
      </c>
      <c r="S487" s="91">
        <v>45630</v>
      </c>
      <c r="T487" s="91">
        <v>45872</v>
      </c>
      <c r="U487" s="90" t="s">
        <v>1114</v>
      </c>
      <c r="V487" s="90" t="s">
        <v>224</v>
      </c>
      <c r="W487" s="90">
        <v>4</v>
      </c>
      <c r="X487" s="90" t="s">
        <v>125</v>
      </c>
      <c r="Y487" s="91">
        <v>45627</v>
      </c>
      <c r="Z487" s="91">
        <v>45808</v>
      </c>
      <c r="AA487" s="91">
        <v>45809</v>
      </c>
      <c r="AB487" s="91">
        <v>45930</v>
      </c>
      <c r="AC487" s="92">
        <v>45938.645833333336</v>
      </c>
    </row>
    <row r="488" spans="1:29" ht="16" x14ac:dyDescent="0.2">
      <c r="A488" s="90" t="s">
        <v>1</v>
      </c>
      <c r="B488" s="90" t="s">
        <v>439</v>
      </c>
      <c r="C488" s="90" t="s">
        <v>705</v>
      </c>
      <c r="D488" s="91">
        <v>31398</v>
      </c>
      <c r="E488" s="90">
        <v>40</v>
      </c>
      <c r="F488" s="90" t="s">
        <v>11</v>
      </c>
      <c r="G488" s="90" t="s">
        <v>11</v>
      </c>
      <c r="H488" s="90" t="s">
        <v>10</v>
      </c>
      <c r="I488" s="91">
        <v>40909</v>
      </c>
      <c r="J488" s="90" t="s">
        <v>179</v>
      </c>
      <c r="K488" s="90" t="s">
        <v>675</v>
      </c>
      <c r="L488" s="90" t="s">
        <v>4</v>
      </c>
      <c r="M488" s="90" t="s">
        <v>6</v>
      </c>
      <c r="N488" s="88"/>
      <c r="O488" s="91">
        <v>45623</v>
      </c>
      <c r="P488" s="91">
        <v>45625</v>
      </c>
      <c r="Q488" s="91">
        <v>45625</v>
      </c>
      <c r="R488" s="91">
        <v>45631</v>
      </c>
      <c r="S488" s="91">
        <v>45325</v>
      </c>
      <c r="T488" s="91">
        <v>45629</v>
      </c>
      <c r="U488" s="90" t="s">
        <v>92</v>
      </c>
      <c r="V488" s="90" t="s">
        <v>224</v>
      </c>
      <c r="W488" s="90">
        <v>1</v>
      </c>
      <c r="X488" s="90" t="s">
        <v>228</v>
      </c>
      <c r="Y488" s="88"/>
      <c r="Z488" s="88"/>
      <c r="AA488" s="88"/>
      <c r="AB488" s="88"/>
      <c r="AC488" s="92">
        <v>45653.795138888891</v>
      </c>
    </row>
    <row r="489" spans="1:29" ht="16" x14ac:dyDescent="0.2">
      <c r="A489" s="90" t="s">
        <v>0</v>
      </c>
      <c r="B489" s="90" t="s">
        <v>706</v>
      </c>
      <c r="C489" s="90" t="s">
        <v>707</v>
      </c>
      <c r="D489" s="91">
        <v>35356</v>
      </c>
      <c r="E489" s="90">
        <v>29</v>
      </c>
      <c r="F489" s="90" t="s">
        <v>11</v>
      </c>
      <c r="G489" s="90" t="s">
        <v>10</v>
      </c>
      <c r="H489" s="90" t="s">
        <v>10</v>
      </c>
      <c r="I489" s="91">
        <v>45536</v>
      </c>
      <c r="J489" s="90" t="s">
        <v>110</v>
      </c>
      <c r="K489" s="90" t="s">
        <v>128</v>
      </c>
      <c r="L489" s="90" t="s">
        <v>7</v>
      </c>
      <c r="M489" s="90" t="s">
        <v>6</v>
      </c>
      <c r="N489" s="90" t="s">
        <v>117</v>
      </c>
      <c r="O489" s="91">
        <v>45623</v>
      </c>
      <c r="P489" s="91">
        <v>45644</v>
      </c>
      <c r="Q489" s="91">
        <v>45625</v>
      </c>
      <c r="R489" s="91">
        <v>45629</v>
      </c>
      <c r="S489" s="91">
        <v>45629</v>
      </c>
      <c r="T489" s="91">
        <v>45723</v>
      </c>
      <c r="U489" s="90" t="s">
        <v>92</v>
      </c>
      <c r="V489" s="90" t="s">
        <v>224</v>
      </c>
      <c r="W489" s="90">
        <v>1</v>
      </c>
      <c r="X489" s="90" t="s">
        <v>228</v>
      </c>
      <c r="Y489" s="91">
        <v>45627</v>
      </c>
      <c r="Z489" s="91">
        <v>45777</v>
      </c>
      <c r="AA489" s="88"/>
      <c r="AB489" s="88"/>
      <c r="AC489" s="92">
        <v>45723.572222222225</v>
      </c>
    </row>
    <row r="490" spans="1:29" ht="16" x14ac:dyDescent="0.2">
      <c r="A490" s="90" t="s">
        <v>1</v>
      </c>
      <c r="B490" s="90" t="s">
        <v>416</v>
      </c>
      <c r="C490" s="90" t="s">
        <v>417</v>
      </c>
      <c r="D490" s="91">
        <v>34881</v>
      </c>
      <c r="E490" s="90">
        <v>30</v>
      </c>
      <c r="F490" s="90" t="s">
        <v>10</v>
      </c>
      <c r="G490" s="90" t="s">
        <v>10</v>
      </c>
      <c r="H490" s="90" t="s">
        <v>10</v>
      </c>
      <c r="I490" s="91">
        <v>43831</v>
      </c>
      <c r="J490" s="90" t="s">
        <v>598</v>
      </c>
      <c r="K490" s="90" t="s">
        <v>599</v>
      </c>
      <c r="L490" s="90" t="s">
        <v>3</v>
      </c>
      <c r="M490" s="90" t="s">
        <v>396</v>
      </c>
      <c r="N490" s="90" t="s">
        <v>119</v>
      </c>
      <c r="O490" s="91">
        <v>45623</v>
      </c>
      <c r="P490" s="91">
        <v>45623</v>
      </c>
      <c r="Q490" s="91">
        <v>45625</v>
      </c>
      <c r="R490" s="91">
        <v>45635</v>
      </c>
      <c r="S490" s="91">
        <v>45635</v>
      </c>
      <c r="T490" s="91">
        <v>45797</v>
      </c>
      <c r="U490" s="90" t="s">
        <v>1202</v>
      </c>
      <c r="V490" s="90" t="s">
        <v>224</v>
      </c>
      <c r="W490" s="90">
        <v>1</v>
      </c>
      <c r="X490" s="90" t="s">
        <v>118</v>
      </c>
      <c r="Y490" s="91">
        <v>45627</v>
      </c>
      <c r="Z490" s="91">
        <v>45777</v>
      </c>
      <c r="AA490" s="88"/>
      <c r="AB490" s="88"/>
      <c r="AC490" s="92">
        <v>45825.573611111111</v>
      </c>
    </row>
    <row r="491" spans="1:29" ht="16" x14ac:dyDescent="0.2">
      <c r="A491" s="90" t="s">
        <v>1</v>
      </c>
      <c r="B491" s="90" t="s">
        <v>112</v>
      </c>
      <c r="C491" s="90" t="s">
        <v>704</v>
      </c>
      <c r="D491" s="91">
        <v>23875</v>
      </c>
      <c r="E491" s="90">
        <v>60</v>
      </c>
      <c r="F491" s="90" t="s">
        <v>10</v>
      </c>
      <c r="G491" s="90" t="s">
        <v>10</v>
      </c>
      <c r="H491" s="90" t="s">
        <v>10</v>
      </c>
      <c r="I491" s="91">
        <v>44927</v>
      </c>
      <c r="J491" s="90" t="s">
        <v>598</v>
      </c>
      <c r="K491" s="90" t="s">
        <v>599</v>
      </c>
      <c r="L491" s="90" t="s">
        <v>3</v>
      </c>
      <c r="M491" s="90" t="s">
        <v>396</v>
      </c>
      <c r="N491" s="90" t="s">
        <v>119</v>
      </c>
      <c r="O491" s="91">
        <v>45623</v>
      </c>
      <c r="P491" s="91">
        <v>45623</v>
      </c>
      <c r="Q491" s="91">
        <v>45625</v>
      </c>
      <c r="R491" s="91">
        <v>45649</v>
      </c>
      <c r="S491" s="91">
        <v>45649</v>
      </c>
      <c r="T491" s="91">
        <v>45807</v>
      </c>
      <c r="U491" s="90" t="s">
        <v>67</v>
      </c>
      <c r="V491" s="90" t="s">
        <v>224</v>
      </c>
      <c r="W491" s="90">
        <v>2</v>
      </c>
      <c r="X491" s="90" t="s">
        <v>228</v>
      </c>
      <c r="Y491" s="91">
        <v>45627</v>
      </c>
      <c r="Z491" s="91">
        <v>45808</v>
      </c>
      <c r="AA491" s="88"/>
      <c r="AB491" s="88"/>
      <c r="AC491" s="92">
        <v>45874.538194444445</v>
      </c>
    </row>
    <row r="492" spans="1:29" ht="16" x14ac:dyDescent="0.2">
      <c r="A492" s="90" t="s">
        <v>0</v>
      </c>
      <c r="B492" s="90" t="s">
        <v>687</v>
      </c>
      <c r="C492" s="90" t="s">
        <v>688</v>
      </c>
      <c r="D492" s="91">
        <v>28491</v>
      </c>
      <c r="E492" s="90">
        <v>47</v>
      </c>
      <c r="F492" s="90" t="s">
        <v>10</v>
      </c>
      <c r="G492" s="90" t="s">
        <v>11</v>
      </c>
      <c r="H492" s="90" t="s">
        <v>10</v>
      </c>
      <c r="I492" s="91">
        <v>44470</v>
      </c>
      <c r="J492" s="90" t="s">
        <v>304</v>
      </c>
      <c r="K492" s="90" t="s">
        <v>689</v>
      </c>
      <c r="L492" s="90" t="s">
        <v>7</v>
      </c>
      <c r="M492" s="90" t="s">
        <v>6</v>
      </c>
      <c r="N492" s="90" t="s">
        <v>120</v>
      </c>
      <c r="O492" s="91">
        <v>45622</v>
      </c>
      <c r="P492" s="91">
        <v>45625</v>
      </c>
      <c r="Q492" s="91">
        <v>45625</v>
      </c>
      <c r="R492" s="91">
        <v>45636</v>
      </c>
      <c r="S492" s="91">
        <v>45699</v>
      </c>
      <c r="T492" s="91">
        <v>45869</v>
      </c>
      <c r="U492" s="90" t="s">
        <v>1114</v>
      </c>
      <c r="V492" s="90" t="s">
        <v>224</v>
      </c>
      <c r="W492" s="90">
        <v>2</v>
      </c>
      <c r="X492" s="90" t="s">
        <v>708</v>
      </c>
      <c r="Y492" s="91">
        <v>45689</v>
      </c>
      <c r="Z492" s="91">
        <v>45869</v>
      </c>
      <c r="AA492" s="88"/>
      <c r="AB492" s="88"/>
      <c r="AC492" s="92">
        <v>45845.591666666667</v>
      </c>
    </row>
    <row r="493" spans="1:29" ht="16" x14ac:dyDescent="0.2">
      <c r="A493" s="90" t="s">
        <v>1</v>
      </c>
      <c r="B493" s="90" t="s">
        <v>684</v>
      </c>
      <c r="C493" s="90" t="s">
        <v>685</v>
      </c>
      <c r="D493" s="91">
        <v>24029</v>
      </c>
      <c r="E493" s="90">
        <v>60</v>
      </c>
      <c r="F493" s="90" t="s">
        <v>11</v>
      </c>
      <c r="G493" s="90" t="s">
        <v>10</v>
      </c>
      <c r="H493" s="90" t="s">
        <v>10</v>
      </c>
      <c r="I493" s="91">
        <v>45231</v>
      </c>
      <c r="J493" s="90" t="s">
        <v>686</v>
      </c>
      <c r="K493" s="90" t="s">
        <v>455</v>
      </c>
      <c r="L493" s="90" t="s">
        <v>7</v>
      </c>
      <c r="M493" s="90" t="s">
        <v>396</v>
      </c>
      <c r="N493" s="90" t="s">
        <v>119</v>
      </c>
      <c r="O493" s="91">
        <v>45622</v>
      </c>
      <c r="P493" s="91">
        <v>45625</v>
      </c>
      <c r="Q493" s="91">
        <v>45628</v>
      </c>
      <c r="R493" s="91">
        <v>45632</v>
      </c>
      <c r="S493" s="91">
        <v>45632</v>
      </c>
      <c r="T493" s="91">
        <v>45808</v>
      </c>
      <c r="U493" s="90" t="s">
        <v>319</v>
      </c>
      <c r="V493" s="90" t="s">
        <v>224</v>
      </c>
      <c r="W493" s="90">
        <v>4</v>
      </c>
      <c r="X493" s="90" t="s">
        <v>708</v>
      </c>
      <c r="Y493" s="91">
        <v>45627</v>
      </c>
      <c r="Z493" s="91">
        <v>45808</v>
      </c>
      <c r="AA493" s="88"/>
      <c r="AB493" s="88"/>
      <c r="AC493" s="92">
        <v>45882.713888888888</v>
      </c>
    </row>
    <row r="494" spans="1:29" ht="16" x14ac:dyDescent="0.2">
      <c r="A494" s="90" t="s">
        <v>1</v>
      </c>
      <c r="B494" s="90" t="s">
        <v>690</v>
      </c>
      <c r="C494" s="90" t="s">
        <v>691</v>
      </c>
      <c r="D494" s="91">
        <v>31181</v>
      </c>
      <c r="E494" s="90">
        <v>40</v>
      </c>
      <c r="F494" s="90" t="s">
        <v>11</v>
      </c>
      <c r="G494" s="90" t="s">
        <v>10</v>
      </c>
      <c r="H494" s="90" t="s">
        <v>10</v>
      </c>
      <c r="I494" s="88"/>
      <c r="J494" s="90" t="s">
        <v>259</v>
      </c>
      <c r="K494" s="90" t="s">
        <v>260</v>
      </c>
      <c r="L494" s="90" t="s">
        <v>4</v>
      </c>
      <c r="M494" s="90" t="s">
        <v>6</v>
      </c>
      <c r="N494" s="90" t="s">
        <v>120</v>
      </c>
      <c r="O494" s="91">
        <v>45622</v>
      </c>
      <c r="P494" s="91">
        <v>45623</v>
      </c>
      <c r="Q494" s="91">
        <v>45623</v>
      </c>
      <c r="R494" s="91">
        <v>45643</v>
      </c>
      <c r="S494" s="91">
        <v>45643</v>
      </c>
      <c r="T494" s="91">
        <v>45762</v>
      </c>
      <c r="U494" s="90" t="s">
        <v>407</v>
      </c>
      <c r="V494" s="90" t="s">
        <v>224</v>
      </c>
      <c r="W494" s="90">
        <v>3</v>
      </c>
      <c r="X494" s="90" t="s">
        <v>125</v>
      </c>
      <c r="Y494" s="91">
        <v>45627</v>
      </c>
      <c r="Z494" s="91">
        <v>45809</v>
      </c>
      <c r="AA494" s="88"/>
      <c r="AB494" s="88"/>
      <c r="AC494" s="92">
        <v>45952.834722222222</v>
      </c>
    </row>
    <row r="495" spans="1:29" ht="16" x14ac:dyDescent="0.2">
      <c r="A495" s="90" t="s">
        <v>0</v>
      </c>
      <c r="B495" s="90" t="s">
        <v>247</v>
      </c>
      <c r="C495" s="90" t="s">
        <v>681</v>
      </c>
      <c r="D495" s="91">
        <v>28956</v>
      </c>
      <c r="E495" s="90">
        <v>46</v>
      </c>
      <c r="F495" s="90" t="s">
        <v>11</v>
      </c>
      <c r="G495" s="90" t="s">
        <v>11</v>
      </c>
      <c r="H495" s="90" t="s">
        <v>10</v>
      </c>
      <c r="I495" s="88"/>
      <c r="J495" s="90" t="s">
        <v>134</v>
      </c>
      <c r="K495" s="90" t="s">
        <v>135</v>
      </c>
      <c r="L495" s="90" t="s">
        <v>3</v>
      </c>
      <c r="M495" s="90" t="s">
        <v>6</v>
      </c>
      <c r="N495" s="90" t="s">
        <v>119</v>
      </c>
      <c r="O495" s="91">
        <v>45621</v>
      </c>
      <c r="P495" s="91">
        <v>45622</v>
      </c>
      <c r="Q495" s="91">
        <v>45623</v>
      </c>
      <c r="R495" s="91">
        <v>45630</v>
      </c>
      <c r="S495" s="91">
        <v>45630</v>
      </c>
      <c r="T495" s="91">
        <v>45806</v>
      </c>
      <c r="U495" s="90" t="s">
        <v>319</v>
      </c>
      <c r="V495" s="90" t="s">
        <v>224</v>
      </c>
      <c r="W495" s="90">
        <v>1</v>
      </c>
      <c r="X495" s="90" t="s">
        <v>118</v>
      </c>
      <c r="Y495" s="91">
        <v>45627</v>
      </c>
      <c r="Z495" s="91">
        <v>45777</v>
      </c>
      <c r="AA495" s="88"/>
      <c r="AB495" s="88"/>
      <c r="AC495" s="92">
        <v>45874.538888888892</v>
      </c>
    </row>
    <row r="496" spans="1:29" ht="16" x14ac:dyDescent="0.2">
      <c r="A496" s="90" t="s">
        <v>1</v>
      </c>
      <c r="B496" s="90" t="s">
        <v>196</v>
      </c>
      <c r="C496" s="90" t="s">
        <v>676</v>
      </c>
      <c r="D496" s="91">
        <v>30315</v>
      </c>
      <c r="E496" s="90">
        <v>43</v>
      </c>
      <c r="F496" s="90" t="s">
        <v>11</v>
      </c>
      <c r="G496" s="90" t="s">
        <v>11</v>
      </c>
      <c r="H496" s="90" t="s">
        <v>10</v>
      </c>
      <c r="I496" s="88"/>
      <c r="J496" s="90" t="s">
        <v>134</v>
      </c>
      <c r="K496" s="90" t="s">
        <v>135</v>
      </c>
      <c r="L496" s="90" t="s">
        <v>3</v>
      </c>
      <c r="M496" s="90" t="s">
        <v>6</v>
      </c>
      <c r="N496" s="90" t="s">
        <v>119</v>
      </c>
      <c r="O496" s="91">
        <v>45621</v>
      </c>
      <c r="P496" s="91">
        <v>45622</v>
      </c>
      <c r="Q496" s="91">
        <v>45623</v>
      </c>
      <c r="R496" s="91">
        <v>45630</v>
      </c>
      <c r="S496" s="91">
        <v>45630</v>
      </c>
      <c r="T496" s="91">
        <v>45806</v>
      </c>
      <c r="U496" s="90" t="s">
        <v>319</v>
      </c>
      <c r="V496" s="90" t="s">
        <v>224</v>
      </c>
      <c r="W496" s="90">
        <v>1</v>
      </c>
      <c r="X496" s="90" t="s">
        <v>118</v>
      </c>
      <c r="Y496" s="91">
        <v>45627</v>
      </c>
      <c r="Z496" s="91">
        <v>45777</v>
      </c>
      <c r="AA496" s="88"/>
      <c r="AB496" s="88"/>
      <c r="AC496" s="92">
        <v>45819.699305555558</v>
      </c>
    </row>
    <row r="497" spans="1:29" ht="16" x14ac:dyDescent="0.2">
      <c r="A497" s="90" t="s">
        <v>1</v>
      </c>
      <c r="B497" s="90" t="s">
        <v>147</v>
      </c>
      <c r="C497" s="90" t="s">
        <v>480</v>
      </c>
      <c r="D497" s="91">
        <v>31071</v>
      </c>
      <c r="E497" s="90">
        <v>40</v>
      </c>
      <c r="F497" s="90" t="s">
        <v>11</v>
      </c>
      <c r="G497" s="90" t="s">
        <v>11</v>
      </c>
      <c r="H497" s="90" t="s">
        <v>10</v>
      </c>
      <c r="I497" s="88"/>
      <c r="J497" s="90" t="s">
        <v>248</v>
      </c>
      <c r="K497" s="90" t="s">
        <v>249</v>
      </c>
      <c r="L497" s="90" t="s">
        <v>7</v>
      </c>
      <c r="M497" s="90" t="s">
        <v>6</v>
      </c>
      <c r="N497" s="90" t="s">
        <v>117</v>
      </c>
      <c r="O497" s="91">
        <v>45621</v>
      </c>
      <c r="P497" s="91">
        <v>45622</v>
      </c>
      <c r="Q497" s="91">
        <v>45625</v>
      </c>
      <c r="R497" s="91">
        <v>45663</v>
      </c>
      <c r="S497" s="91">
        <v>45677</v>
      </c>
      <c r="T497" s="91">
        <v>45705</v>
      </c>
      <c r="U497" s="90" t="s">
        <v>215</v>
      </c>
      <c r="V497" s="90" t="s">
        <v>224</v>
      </c>
      <c r="W497" s="90">
        <v>2</v>
      </c>
      <c r="X497" s="90" t="s">
        <v>228</v>
      </c>
      <c r="Y497" s="91">
        <v>45658</v>
      </c>
      <c r="Z497" s="91">
        <v>45839</v>
      </c>
      <c r="AA497" s="88"/>
      <c r="AB497" s="88"/>
      <c r="AC497" s="92">
        <v>45705.741666666669</v>
      </c>
    </row>
    <row r="498" spans="1:29" ht="16" x14ac:dyDescent="0.2">
      <c r="A498" s="90" t="s">
        <v>1</v>
      </c>
      <c r="B498" s="90" t="s">
        <v>261</v>
      </c>
      <c r="C498" s="90" t="s">
        <v>677</v>
      </c>
      <c r="D498" s="91">
        <v>26519</v>
      </c>
      <c r="E498" s="90">
        <v>53</v>
      </c>
      <c r="F498" s="90" t="s">
        <v>11</v>
      </c>
      <c r="G498" s="90" t="s">
        <v>11</v>
      </c>
      <c r="H498" s="90" t="s">
        <v>10</v>
      </c>
      <c r="I498" s="91">
        <v>44986</v>
      </c>
      <c r="J498" s="90" t="s">
        <v>678</v>
      </c>
      <c r="K498" s="90" t="s">
        <v>544</v>
      </c>
      <c r="L498" s="90" t="s">
        <v>7</v>
      </c>
      <c r="M498" s="90" t="s">
        <v>396</v>
      </c>
      <c r="N498" s="88"/>
      <c r="O498" s="91">
        <v>45621</v>
      </c>
      <c r="P498" s="91">
        <v>45621</v>
      </c>
      <c r="Q498" s="91">
        <v>45621</v>
      </c>
      <c r="R498" s="91">
        <v>45624</v>
      </c>
      <c r="S498" s="91">
        <v>45624</v>
      </c>
      <c r="T498" s="91">
        <v>45624</v>
      </c>
      <c r="U498" s="90" t="s">
        <v>92</v>
      </c>
      <c r="V498" s="90" t="s">
        <v>224</v>
      </c>
      <c r="W498" s="90">
        <v>1</v>
      </c>
      <c r="X498" s="90" t="s">
        <v>228</v>
      </c>
      <c r="Y498" s="88"/>
      <c r="Z498" s="88"/>
      <c r="AA498" s="88"/>
      <c r="AB498" s="88"/>
      <c r="AC498" s="92">
        <v>45653.796527777777</v>
      </c>
    </row>
    <row r="499" spans="1:29" x14ac:dyDescent="0.2">
      <c r="A499" s="90" t="s">
        <v>1</v>
      </c>
      <c r="B499" s="90" t="s">
        <v>682</v>
      </c>
      <c r="C499" s="90" t="s">
        <v>683</v>
      </c>
      <c r="D499" s="91">
        <v>34108</v>
      </c>
      <c r="E499" s="90">
        <v>32</v>
      </c>
      <c r="F499" s="90" t="s">
        <v>11</v>
      </c>
      <c r="G499" s="90" t="s">
        <v>10</v>
      </c>
      <c r="H499" s="90" t="s">
        <v>10</v>
      </c>
      <c r="I499" s="91">
        <v>44928</v>
      </c>
      <c r="J499" s="90" t="s">
        <v>598</v>
      </c>
      <c r="K499" s="90" t="s">
        <v>599</v>
      </c>
      <c r="L499" s="90" t="s">
        <v>7</v>
      </c>
      <c r="M499" s="90" t="s">
        <v>396</v>
      </c>
      <c r="N499" s="90" t="s">
        <v>226</v>
      </c>
      <c r="O499" s="91">
        <v>45621</v>
      </c>
      <c r="P499" s="91">
        <v>45621</v>
      </c>
      <c r="Q499" s="91">
        <v>45635</v>
      </c>
      <c r="R499" s="91">
        <v>45666</v>
      </c>
      <c r="S499" s="91">
        <v>45666</v>
      </c>
      <c r="T499" s="91">
        <v>45944</v>
      </c>
      <c r="U499" s="90" t="s">
        <v>214</v>
      </c>
      <c r="V499" s="90" t="s">
        <v>224</v>
      </c>
      <c r="W499" s="90">
        <v>1</v>
      </c>
      <c r="X499" s="90" t="s">
        <v>228</v>
      </c>
      <c r="Y499" s="91">
        <v>45658</v>
      </c>
      <c r="Z499" s="91">
        <v>45838</v>
      </c>
      <c r="AA499" s="91">
        <v>45839</v>
      </c>
      <c r="AB499" s="91">
        <v>45930</v>
      </c>
      <c r="AC499" s="92">
        <v>45952.835416666669</v>
      </c>
    </row>
    <row r="500" spans="1:29" ht="16" x14ac:dyDescent="0.2">
      <c r="A500" s="90" t="s">
        <v>0</v>
      </c>
      <c r="B500" s="90" t="s">
        <v>517</v>
      </c>
      <c r="C500" s="90" t="s">
        <v>518</v>
      </c>
      <c r="D500" s="91">
        <v>33258</v>
      </c>
      <c r="E500" s="90">
        <v>34</v>
      </c>
      <c r="F500" s="90" t="s">
        <v>11</v>
      </c>
      <c r="G500" s="90" t="s">
        <v>10</v>
      </c>
      <c r="H500" s="90" t="s">
        <v>10</v>
      </c>
      <c r="I500" s="88"/>
      <c r="J500" s="90" t="s">
        <v>401</v>
      </c>
      <c r="K500" s="90" t="s">
        <v>453</v>
      </c>
      <c r="L500" s="90" t="s">
        <v>7</v>
      </c>
      <c r="M500" s="90" t="s">
        <v>6</v>
      </c>
      <c r="N500" s="90" t="s">
        <v>119</v>
      </c>
      <c r="O500" s="91">
        <v>45621</v>
      </c>
      <c r="P500" s="91">
        <v>45624</v>
      </c>
      <c r="Q500" s="91">
        <v>45628</v>
      </c>
      <c r="R500" s="91">
        <v>45631</v>
      </c>
      <c r="S500" s="91">
        <v>45631</v>
      </c>
      <c r="T500" s="91">
        <v>45853</v>
      </c>
      <c r="U500" s="90" t="s">
        <v>407</v>
      </c>
      <c r="V500" s="90" t="s">
        <v>224</v>
      </c>
      <c r="W500" s="90">
        <v>3</v>
      </c>
      <c r="X500" s="90" t="s">
        <v>708</v>
      </c>
      <c r="Y500" s="91">
        <v>45627</v>
      </c>
      <c r="Z500" s="91">
        <v>45809</v>
      </c>
      <c r="AA500" s="88"/>
      <c r="AB500" s="88"/>
      <c r="AC500" s="92">
        <v>45952.834722222222</v>
      </c>
    </row>
    <row r="501" spans="1:29" ht="16" x14ac:dyDescent="0.2">
      <c r="A501" s="90" t="s">
        <v>1</v>
      </c>
      <c r="B501" s="90" t="s">
        <v>679</v>
      </c>
      <c r="C501" s="90" t="s">
        <v>680</v>
      </c>
      <c r="D501" s="91">
        <v>23575</v>
      </c>
      <c r="E501" s="90">
        <v>61</v>
      </c>
      <c r="F501" s="90" t="s">
        <v>11</v>
      </c>
      <c r="G501" s="90" t="s">
        <v>11</v>
      </c>
      <c r="H501" s="90" t="s">
        <v>10</v>
      </c>
      <c r="I501" s="88"/>
      <c r="J501" s="90" t="s">
        <v>145</v>
      </c>
      <c r="K501" s="90" t="s">
        <v>146</v>
      </c>
      <c r="L501" s="90" t="s">
        <v>3</v>
      </c>
      <c r="M501" s="90" t="s">
        <v>6</v>
      </c>
      <c r="N501" s="90" t="s">
        <v>174</v>
      </c>
      <c r="O501" s="91">
        <v>45621</v>
      </c>
      <c r="P501" s="91">
        <v>45670</v>
      </c>
      <c r="Q501" s="91">
        <v>45623</v>
      </c>
      <c r="R501" s="91">
        <v>45623</v>
      </c>
      <c r="S501" s="91">
        <v>45670</v>
      </c>
      <c r="T501" s="91">
        <v>45762</v>
      </c>
      <c r="U501" s="90" t="s">
        <v>91</v>
      </c>
      <c r="V501" s="90" t="s">
        <v>224</v>
      </c>
      <c r="W501" s="90">
        <v>4</v>
      </c>
      <c r="X501" s="90" t="s">
        <v>118</v>
      </c>
      <c r="Y501" s="91">
        <v>45658</v>
      </c>
      <c r="Z501" s="91">
        <v>45838</v>
      </c>
      <c r="AA501" s="88"/>
      <c r="AB501" s="88"/>
      <c r="AC501" s="92">
        <v>45762.654861111114</v>
      </c>
    </row>
    <row r="502" spans="1:29" ht="16" x14ac:dyDescent="0.2">
      <c r="A502" s="90" t="s">
        <v>1</v>
      </c>
      <c r="B502" s="90" t="s">
        <v>673</v>
      </c>
      <c r="C502" s="90" t="s">
        <v>674</v>
      </c>
      <c r="D502" s="91">
        <v>24226</v>
      </c>
      <c r="E502" s="90">
        <v>59</v>
      </c>
      <c r="F502" s="90" t="s">
        <v>10</v>
      </c>
      <c r="G502" s="90" t="s">
        <v>10</v>
      </c>
      <c r="H502" s="90" t="s">
        <v>10</v>
      </c>
      <c r="I502" s="91">
        <v>45558</v>
      </c>
      <c r="J502" s="90" t="s">
        <v>179</v>
      </c>
      <c r="K502" s="90" t="s">
        <v>675</v>
      </c>
      <c r="L502" s="90" t="s">
        <v>4</v>
      </c>
      <c r="M502" s="90" t="s">
        <v>6</v>
      </c>
      <c r="N502" s="90" t="s">
        <v>119</v>
      </c>
      <c r="O502" s="91">
        <v>45618</v>
      </c>
      <c r="P502" s="91">
        <v>45621</v>
      </c>
      <c r="Q502" s="91">
        <v>45621</v>
      </c>
      <c r="R502" s="91">
        <v>45631</v>
      </c>
      <c r="S502" s="91">
        <v>45631</v>
      </c>
      <c r="T502" s="91">
        <v>45810</v>
      </c>
      <c r="U502" s="90" t="s">
        <v>407</v>
      </c>
      <c r="V502" s="90" t="s">
        <v>224</v>
      </c>
      <c r="W502" s="90">
        <v>3</v>
      </c>
      <c r="X502" s="90" t="s">
        <v>228</v>
      </c>
      <c r="Y502" s="91">
        <v>45627</v>
      </c>
      <c r="Z502" s="91">
        <v>45808</v>
      </c>
      <c r="AA502" s="88"/>
      <c r="AB502" s="88"/>
      <c r="AC502" s="92">
        <v>45853.425694444442</v>
      </c>
    </row>
    <row r="503" spans="1:29" ht="16" x14ac:dyDescent="0.2">
      <c r="A503" s="90" t="s">
        <v>0</v>
      </c>
      <c r="B503" s="90" t="s">
        <v>576</v>
      </c>
      <c r="C503" s="90" t="s">
        <v>577</v>
      </c>
      <c r="D503" s="91">
        <v>24037</v>
      </c>
      <c r="E503" s="90">
        <v>60</v>
      </c>
      <c r="F503" s="90" t="s">
        <v>10</v>
      </c>
      <c r="G503" s="88"/>
      <c r="H503" s="90" t="s">
        <v>10</v>
      </c>
      <c r="I503" s="91">
        <v>39965</v>
      </c>
      <c r="J503" s="90" t="s">
        <v>107</v>
      </c>
      <c r="K503" s="90" t="s">
        <v>108</v>
      </c>
      <c r="L503" s="90" t="s">
        <v>7</v>
      </c>
      <c r="M503" s="90" t="s">
        <v>6</v>
      </c>
      <c r="N503" s="90" t="s">
        <v>226</v>
      </c>
      <c r="O503" s="91">
        <v>45618</v>
      </c>
      <c r="P503" s="91">
        <v>45621</v>
      </c>
      <c r="Q503" s="91">
        <v>45621</v>
      </c>
      <c r="R503" s="91">
        <v>45628</v>
      </c>
      <c r="S503" s="91">
        <v>45628</v>
      </c>
      <c r="T503" s="91">
        <v>45771</v>
      </c>
      <c r="U503" s="90" t="s">
        <v>218</v>
      </c>
      <c r="V503" s="90" t="s">
        <v>224</v>
      </c>
      <c r="W503" s="90">
        <v>1</v>
      </c>
      <c r="X503" s="90" t="s">
        <v>228</v>
      </c>
      <c r="Y503" s="91">
        <v>45627</v>
      </c>
      <c r="Z503" s="91">
        <v>45747</v>
      </c>
      <c r="AA503" s="88"/>
      <c r="AB503" s="88"/>
      <c r="AC503" s="92">
        <v>45771.698611111111</v>
      </c>
    </row>
    <row r="504" spans="1:29" ht="16" x14ac:dyDescent="0.2">
      <c r="A504" s="90" t="s">
        <v>1</v>
      </c>
      <c r="B504" s="90" t="s">
        <v>199</v>
      </c>
      <c r="C504" s="90" t="s">
        <v>672</v>
      </c>
      <c r="D504" s="91">
        <v>26271</v>
      </c>
      <c r="E504" s="90">
        <v>54</v>
      </c>
      <c r="F504" s="90" t="s">
        <v>10</v>
      </c>
      <c r="G504" s="90" t="s">
        <v>11</v>
      </c>
      <c r="H504" s="90" t="s">
        <v>10</v>
      </c>
      <c r="I504" s="91">
        <v>40695</v>
      </c>
      <c r="J504" s="90" t="s">
        <v>351</v>
      </c>
      <c r="K504" s="90" t="s">
        <v>128</v>
      </c>
      <c r="L504" s="90" t="s">
        <v>7</v>
      </c>
      <c r="M504" s="90" t="s">
        <v>6</v>
      </c>
      <c r="N504" s="90" t="s">
        <v>119</v>
      </c>
      <c r="O504" s="91">
        <v>45618</v>
      </c>
      <c r="P504" s="91">
        <v>45621</v>
      </c>
      <c r="Q504" s="91">
        <v>45621</v>
      </c>
      <c r="R504" s="91">
        <v>45629</v>
      </c>
      <c r="S504" s="91">
        <v>45629</v>
      </c>
      <c r="T504" s="91">
        <v>45902</v>
      </c>
      <c r="U504" s="90" t="s">
        <v>407</v>
      </c>
      <c r="V504" s="90" t="s">
        <v>224</v>
      </c>
      <c r="W504" s="90">
        <v>7</v>
      </c>
      <c r="X504" s="90" t="s">
        <v>228</v>
      </c>
      <c r="Y504" s="91">
        <v>45627</v>
      </c>
      <c r="Z504" s="91">
        <v>45808</v>
      </c>
      <c r="AA504" s="88"/>
      <c r="AB504" s="88"/>
      <c r="AC504" s="92">
        <v>45952.835416666669</v>
      </c>
    </row>
    <row r="505" spans="1:29" ht="16" x14ac:dyDescent="0.2">
      <c r="A505" s="90" t="s">
        <v>1</v>
      </c>
      <c r="B505" s="90" t="s">
        <v>670</v>
      </c>
      <c r="C505" s="90" t="s">
        <v>671</v>
      </c>
      <c r="D505" s="91">
        <v>32839</v>
      </c>
      <c r="E505" s="90">
        <v>36</v>
      </c>
      <c r="F505" s="90" t="s">
        <v>11</v>
      </c>
      <c r="G505" s="90" t="s">
        <v>11</v>
      </c>
      <c r="H505" s="90" t="s">
        <v>10</v>
      </c>
      <c r="I505" s="91">
        <v>45536</v>
      </c>
      <c r="J505" s="90" t="s">
        <v>110</v>
      </c>
      <c r="K505" s="90" t="s">
        <v>128</v>
      </c>
      <c r="L505" s="90" t="s">
        <v>7</v>
      </c>
      <c r="M505" s="90" t="s">
        <v>6</v>
      </c>
      <c r="N505" s="90" t="s">
        <v>176</v>
      </c>
      <c r="O505" s="91">
        <v>45618</v>
      </c>
      <c r="P505" s="91">
        <v>45622</v>
      </c>
      <c r="Q505" s="91">
        <v>45623</v>
      </c>
      <c r="R505" s="91">
        <v>45629</v>
      </c>
      <c r="S505" s="91">
        <v>45629</v>
      </c>
      <c r="T505" s="91">
        <v>45808</v>
      </c>
      <c r="U505" s="90" t="s">
        <v>218</v>
      </c>
      <c r="V505" s="90" t="s">
        <v>224</v>
      </c>
      <c r="W505" s="90">
        <v>3</v>
      </c>
      <c r="X505" s="90" t="s">
        <v>228</v>
      </c>
      <c r="Y505" s="91">
        <v>45627</v>
      </c>
      <c r="Z505" s="91">
        <v>45808</v>
      </c>
      <c r="AA505" s="88"/>
      <c r="AB505" s="88"/>
      <c r="AC505" s="92">
        <v>45809.885416666664</v>
      </c>
    </row>
    <row r="506" spans="1:29" ht="16" x14ac:dyDescent="0.2">
      <c r="A506" s="90" t="s">
        <v>1</v>
      </c>
      <c r="B506" s="90" t="s">
        <v>666</v>
      </c>
      <c r="C506" s="90" t="s">
        <v>667</v>
      </c>
      <c r="D506" s="91">
        <v>24905</v>
      </c>
      <c r="E506" s="90">
        <v>57</v>
      </c>
      <c r="F506" s="90" t="s">
        <v>11</v>
      </c>
      <c r="G506" s="90" t="s">
        <v>10</v>
      </c>
      <c r="H506" s="90" t="s">
        <v>10</v>
      </c>
      <c r="I506" s="91">
        <v>44136</v>
      </c>
      <c r="J506" s="90" t="s">
        <v>161</v>
      </c>
      <c r="K506" s="90" t="s">
        <v>208</v>
      </c>
      <c r="L506" s="90" t="s">
        <v>7</v>
      </c>
      <c r="M506" s="90" t="s">
        <v>6</v>
      </c>
      <c r="N506" s="90" t="s">
        <v>225</v>
      </c>
      <c r="O506" s="91">
        <v>45616</v>
      </c>
      <c r="P506" s="91">
        <v>45764</v>
      </c>
      <c r="Q506" s="91">
        <v>45621</v>
      </c>
      <c r="R506" s="91">
        <v>45624</v>
      </c>
      <c r="S506" s="91">
        <v>45624</v>
      </c>
      <c r="T506" s="91">
        <v>45746</v>
      </c>
      <c r="U506" s="90" t="s">
        <v>98</v>
      </c>
      <c r="V506" s="90" t="s">
        <v>224</v>
      </c>
      <c r="W506" s="90">
        <v>3</v>
      </c>
      <c r="X506" s="90" t="s">
        <v>708</v>
      </c>
      <c r="Y506" s="91">
        <v>45597</v>
      </c>
      <c r="Z506" s="91">
        <v>45777</v>
      </c>
      <c r="AA506" s="88"/>
      <c r="AB506" s="88"/>
      <c r="AC506" s="92">
        <v>45764.504166666666</v>
      </c>
    </row>
    <row r="507" spans="1:29" x14ac:dyDescent="0.2">
      <c r="A507" s="90" t="s">
        <v>0</v>
      </c>
      <c r="B507" s="90" t="s">
        <v>155</v>
      </c>
      <c r="C507" s="90" t="s">
        <v>668</v>
      </c>
      <c r="D507" s="91">
        <v>31187</v>
      </c>
      <c r="E507" s="90">
        <v>40</v>
      </c>
      <c r="F507" s="90" t="s">
        <v>10</v>
      </c>
      <c r="G507" s="90" t="s">
        <v>11</v>
      </c>
      <c r="H507" s="90" t="s">
        <v>10</v>
      </c>
      <c r="I507" s="91">
        <v>44743</v>
      </c>
      <c r="J507" s="90" t="s">
        <v>109</v>
      </c>
      <c r="K507" s="90" t="s">
        <v>669</v>
      </c>
      <c r="L507" s="90" t="s">
        <v>4</v>
      </c>
      <c r="M507" s="90" t="s">
        <v>6</v>
      </c>
      <c r="N507" s="90" t="s">
        <v>120</v>
      </c>
      <c r="O507" s="91">
        <v>45616</v>
      </c>
      <c r="P507" s="91">
        <v>45616</v>
      </c>
      <c r="Q507" s="91">
        <v>45621</v>
      </c>
      <c r="R507" s="91">
        <v>45631</v>
      </c>
      <c r="S507" s="91">
        <v>45631</v>
      </c>
      <c r="T507" s="91">
        <v>45920</v>
      </c>
      <c r="U507" s="90" t="s">
        <v>320</v>
      </c>
      <c r="V507" s="90" t="s">
        <v>224</v>
      </c>
      <c r="W507" s="90">
        <v>9</v>
      </c>
      <c r="X507" s="90" t="s">
        <v>125</v>
      </c>
      <c r="Y507" s="91">
        <v>45627</v>
      </c>
      <c r="Z507" s="91">
        <v>45809</v>
      </c>
      <c r="AA507" s="91">
        <v>45809</v>
      </c>
      <c r="AB507" s="91">
        <v>45900</v>
      </c>
      <c r="AC507" s="92">
        <v>45952.694444444445</v>
      </c>
    </row>
    <row r="508" spans="1:29" ht="16" x14ac:dyDescent="0.2">
      <c r="A508" s="90" t="s">
        <v>1</v>
      </c>
      <c r="B508" s="90" t="s">
        <v>379</v>
      </c>
      <c r="C508" s="90" t="s">
        <v>392</v>
      </c>
      <c r="D508" s="91">
        <v>23347</v>
      </c>
      <c r="E508" s="90">
        <v>62</v>
      </c>
      <c r="F508" s="90" t="s">
        <v>11</v>
      </c>
      <c r="G508" s="90" t="s">
        <v>11</v>
      </c>
      <c r="H508" s="90" t="s">
        <v>10</v>
      </c>
      <c r="I508" s="91">
        <v>39965</v>
      </c>
      <c r="J508" s="90" t="s">
        <v>404</v>
      </c>
      <c r="K508" s="90" t="s">
        <v>498</v>
      </c>
      <c r="L508" s="90" t="s">
        <v>5</v>
      </c>
      <c r="M508" s="90" t="s">
        <v>6</v>
      </c>
      <c r="N508" s="90" t="s">
        <v>119</v>
      </c>
      <c r="O508" s="91">
        <v>45615</v>
      </c>
      <c r="P508" s="91">
        <v>45618</v>
      </c>
      <c r="Q508" s="91">
        <v>45665</v>
      </c>
      <c r="R508" s="91">
        <v>45666</v>
      </c>
      <c r="S508" s="91">
        <v>45665</v>
      </c>
      <c r="T508" s="91">
        <v>45805</v>
      </c>
      <c r="U508" s="90" t="s">
        <v>1114</v>
      </c>
      <c r="V508" s="90" t="s">
        <v>224</v>
      </c>
      <c r="W508" s="90">
        <v>1</v>
      </c>
      <c r="X508" s="90" t="s">
        <v>125</v>
      </c>
      <c r="Y508" s="91">
        <v>45658</v>
      </c>
      <c r="Z508" s="91">
        <v>45839</v>
      </c>
      <c r="AA508" s="88"/>
      <c r="AB508" s="88"/>
      <c r="AC508" s="92">
        <v>45812.586805555555</v>
      </c>
    </row>
    <row r="509" spans="1:29" ht="16" x14ac:dyDescent="0.2">
      <c r="A509" s="90" t="s">
        <v>1</v>
      </c>
      <c r="B509" s="90" t="s">
        <v>170</v>
      </c>
      <c r="C509" s="90" t="s">
        <v>171</v>
      </c>
      <c r="D509" s="91">
        <v>26812</v>
      </c>
      <c r="E509" s="90">
        <v>52</v>
      </c>
      <c r="F509" s="90" t="s">
        <v>11</v>
      </c>
      <c r="G509" s="90" t="s">
        <v>11</v>
      </c>
      <c r="H509" s="90" t="s">
        <v>10</v>
      </c>
      <c r="I509" s="91">
        <v>42095</v>
      </c>
      <c r="J509" s="90" t="s">
        <v>275</v>
      </c>
      <c r="K509" s="90" t="s">
        <v>115</v>
      </c>
      <c r="L509" s="90" t="s">
        <v>4</v>
      </c>
      <c r="M509" s="90" t="s">
        <v>396</v>
      </c>
      <c r="N509" s="90" t="s">
        <v>120</v>
      </c>
      <c r="O509" s="91">
        <v>45615</v>
      </c>
      <c r="P509" s="91">
        <v>45615</v>
      </c>
      <c r="Q509" s="91">
        <v>45631</v>
      </c>
      <c r="R509" s="91">
        <v>45631</v>
      </c>
      <c r="S509" s="91">
        <v>45631</v>
      </c>
      <c r="T509" s="91">
        <v>45740</v>
      </c>
      <c r="U509" s="90" t="s">
        <v>328</v>
      </c>
      <c r="V509" s="90" t="s">
        <v>224</v>
      </c>
      <c r="W509" s="90">
        <v>2</v>
      </c>
      <c r="X509" s="90" t="s">
        <v>125</v>
      </c>
      <c r="Y509" s="91">
        <v>45627</v>
      </c>
      <c r="Z509" s="91">
        <v>45809</v>
      </c>
      <c r="AA509" s="88"/>
      <c r="AB509" s="88"/>
      <c r="AC509" s="92">
        <v>45921.622916666667</v>
      </c>
    </row>
    <row r="510" spans="1:29" ht="16" x14ac:dyDescent="0.2">
      <c r="A510" s="90" t="s">
        <v>1</v>
      </c>
      <c r="B510" s="90" t="s">
        <v>199</v>
      </c>
      <c r="C510" s="90" t="s">
        <v>522</v>
      </c>
      <c r="D510" s="91">
        <v>28720</v>
      </c>
      <c r="E510" s="90">
        <v>47</v>
      </c>
      <c r="F510" s="90" t="s">
        <v>10</v>
      </c>
      <c r="G510" s="90" t="s">
        <v>10</v>
      </c>
      <c r="H510" s="90" t="s">
        <v>11</v>
      </c>
      <c r="I510" s="88"/>
      <c r="J510" s="90" t="s">
        <v>371</v>
      </c>
      <c r="K510" s="90" t="s">
        <v>372</v>
      </c>
      <c r="L510" s="90" t="s">
        <v>3</v>
      </c>
      <c r="M510" s="90" t="s">
        <v>6</v>
      </c>
      <c r="N510" s="88"/>
      <c r="O510" s="91">
        <v>45615</v>
      </c>
      <c r="P510" s="88"/>
      <c r="Q510" s="88"/>
      <c r="R510" s="88"/>
      <c r="S510" s="88"/>
      <c r="T510" s="88"/>
      <c r="U510" s="88"/>
      <c r="V510" s="90" t="s">
        <v>227</v>
      </c>
      <c r="W510" s="90">
        <v>0</v>
      </c>
      <c r="X510" s="88"/>
      <c r="Y510" s="88"/>
      <c r="Z510" s="88"/>
      <c r="AA510" s="88"/>
      <c r="AB510" s="88"/>
      <c r="AC510" s="92">
        <v>45653.805555555555</v>
      </c>
    </row>
    <row r="511" spans="1:29" ht="16" x14ac:dyDescent="0.2">
      <c r="A511" s="90" t="s">
        <v>1</v>
      </c>
      <c r="B511" s="90" t="s">
        <v>662</v>
      </c>
      <c r="C511" s="90" t="s">
        <v>663</v>
      </c>
      <c r="D511" s="91">
        <v>26974</v>
      </c>
      <c r="E511" s="90">
        <v>52</v>
      </c>
      <c r="F511" s="90" t="s">
        <v>11</v>
      </c>
      <c r="G511" s="90" t="s">
        <v>11</v>
      </c>
      <c r="H511" s="90" t="s">
        <v>10</v>
      </c>
      <c r="I511" s="91">
        <v>39965</v>
      </c>
      <c r="J511" s="90" t="s">
        <v>114</v>
      </c>
      <c r="K511" s="90" t="s">
        <v>321</v>
      </c>
      <c r="L511" s="90" t="s">
        <v>5</v>
      </c>
      <c r="M511" s="90" t="s">
        <v>6</v>
      </c>
      <c r="N511" s="88"/>
      <c r="O511" s="91">
        <v>45615</v>
      </c>
      <c r="P511" s="91">
        <v>45615</v>
      </c>
      <c r="Q511" s="91">
        <v>45621</v>
      </c>
      <c r="R511" s="91">
        <v>45621</v>
      </c>
      <c r="S511" s="91">
        <v>45623</v>
      </c>
      <c r="T511" s="91">
        <v>45623</v>
      </c>
      <c r="U511" s="90" t="s">
        <v>92</v>
      </c>
      <c r="V511" s="90" t="s">
        <v>224</v>
      </c>
      <c r="W511" s="90">
        <v>1</v>
      </c>
      <c r="X511" s="90" t="s">
        <v>125</v>
      </c>
      <c r="Y511" s="88"/>
      <c r="Z511" s="88"/>
      <c r="AA511" s="88"/>
      <c r="AB511" s="88"/>
      <c r="AC511" s="92">
        <v>45653.802083333336</v>
      </c>
    </row>
    <row r="512" spans="1:29" ht="16" x14ac:dyDescent="0.2">
      <c r="A512" s="90" t="s">
        <v>0</v>
      </c>
      <c r="B512" s="90" t="s">
        <v>664</v>
      </c>
      <c r="C512" s="90" t="s">
        <v>665</v>
      </c>
      <c r="D512" s="91">
        <v>28410</v>
      </c>
      <c r="E512" s="90">
        <v>48</v>
      </c>
      <c r="F512" s="90" t="s">
        <v>11</v>
      </c>
      <c r="G512" s="90" t="s">
        <v>10</v>
      </c>
      <c r="H512" s="90" t="s">
        <v>10</v>
      </c>
      <c r="I512" s="88"/>
      <c r="J512" s="90" t="s">
        <v>157</v>
      </c>
      <c r="K512" s="90" t="s">
        <v>158</v>
      </c>
      <c r="L512" s="90" t="s">
        <v>7</v>
      </c>
      <c r="M512" s="90" t="s">
        <v>6</v>
      </c>
      <c r="N512" s="90" t="s">
        <v>117</v>
      </c>
      <c r="O512" s="91">
        <v>45615</v>
      </c>
      <c r="P512" s="91">
        <v>45621</v>
      </c>
      <c r="Q512" s="91">
        <v>45623</v>
      </c>
      <c r="R512" s="91">
        <v>45635</v>
      </c>
      <c r="S512" s="91">
        <v>45677</v>
      </c>
      <c r="T512" s="91">
        <v>45930</v>
      </c>
      <c r="U512" s="90" t="s">
        <v>218</v>
      </c>
      <c r="V512" s="90" t="s">
        <v>224</v>
      </c>
      <c r="W512" s="90">
        <v>3</v>
      </c>
      <c r="X512" s="90" t="s">
        <v>228</v>
      </c>
      <c r="Y512" s="91">
        <v>45658</v>
      </c>
      <c r="Z512" s="91">
        <v>45839</v>
      </c>
      <c r="AA512" s="91">
        <v>45839</v>
      </c>
      <c r="AB512" s="91">
        <v>45930</v>
      </c>
      <c r="AC512" s="92">
        <v>45951.474999999999</v>
      </c>
    </row>
    <row r="513" spans="1:29" ht="16" x14ac:dyDescent="0.2">
      <c r="A513" s="90" t="s">
        <v>0</v>
      </c>
      <c r="B513" s="90" t="s">
        <v>398</v>
      </c>
      <c r="C513" s="90" t="s">
        <v>399</v>
      </c>
      <c r="D513" s="91">
        <v>30713</v>
      </c>
      <c r="E513" s="90">
        <v>41</v>
      </c>
      <c r="F513" s="90" t="s">
        <v>11</v>
      </c>
      <c r="G513" s="90" t="s">
        <v>11</v>
      </c>
      <c r="H513" s="90" t="s">
        <v>10</v>
      </c>
      <c r="I513" s="91">
        <v>39965</v>
      </c>
      <c r="J513" s="90" t="s">
        <v>188</v>
      </c>
      <c r="K513" s="90" t="s">
        <v>189</v>
      </c>
      <c r="L513" s="90" t="s">
        <v>5</v>
      </c>
      <c r="M513" s="90" t="s">
        <v>6</v>
      </c>
      <c r="N513" s="90" t="s">
        <v>119</v>
      </c>
      <c r="O513" s="91">
        <v>45615</v>
      </c>
      <c r="P513" s="91">
        <v>45615</v>
      </c>
      <c r="Q513" s="91">
        <v>45621</v>
      </c>
      <c r="R513" s="91">
        <v>45630</v>
      </c>
      <c r="S513" s="91">
        <v>45679</v>
      </c>
      <c r="T513" s="88"/>
      <c r="U513" s="88"/>
      <c r="V513" s="90" t="s">
        <v>32</v>
      </c>
      <c r="W513" s="90">
        <v>4</v>
      </c>
      <c r="X513" s="90" t="s">
        <v>125</v>
      </c>
      <c r="Y513" s="91">
        <v>45658</v>
      </c>
      <c r="Z513" s="91">
        <v>45839</v>
      </c>
      <c r="AA513" s="88"/>
      <c r="AB513" s="88"/>
      <c r="AC513" s="92">
        <v>45826.682638888888</v>
      </c>
    </row>
    <row r="514" spans="1:29" ht="16" x14ac:dyDescent="0.2">
      <c r="A514" s="90" t="s">
        <v>1</v>
      </c>
      <c r="B514" s="90" t="s">
        <v>660</v>
      </c>
      <c r="C514" s="90" t="s">
        <v>661</v>
      </c>
      <c r="D514" s="91">
        <v>22966</v>
      </c>
      <c r="E514" s="90">
        <v>63</v>
      </c>
      <c r="F514" s="90" t="s">
        <v>11</v>
      </c>
      <c r="G514" s="90" t="s">
        <v>11</v>
      </c>
      <c r="H514" s="90" t="s">
        <v>10</v>
      </c>
      <c r="I514" s="91">
        <v>45566</v>
      </c>
      <c r="J514" s="90" t="s">
        <v>35</v>
      </c>
      <c r="K514" s="90" t="s">
        <v>272</v>
      </c>
      <c r="L514" s="90" t="s">
        <v>3</v>
      </c>
      <c r="M514" s="90" t="s">
        <v>6</v>
      </c>
      <c r="N514" s="90" t="s">
        <v>121</v>
      </c>
      <c r="O514" s="91">
        <v>45614</v>
      </c>
      <c r="P514" s="91">
        <v>45621</v>
      </c>
      <c r="Q514" s="91">
        <v>45621</v>
      </c>
      <c r="R514" s="91">
        <v>45628</v>
      </c>
      <c r="S514" s="91">
        <v>45672</v>
      </c>
      <c r="T514" s="91">
        <v>45777</v>
      </c>
      <c r="U514" s="90" t="s">
        <v>67</v>
      </c>
      <c r="V514" s="90" t="s">
        <v>224</v>
      </c>
      <c r="W514" s="90">
        <v>2</v>
      </c>
      <c r="X514" s="90" t="s">
        <v>118</v>
      </c>
      <c r="Y514" s="91">
        <v>45658</v>
      </c>
      <c r="Z514" s="91">
        <v>45839</v>
      </c>
      <c r="AA514" s="88"/>
      <c r="AB514" s="88"/>
      <c r="AC514" s="92">
        <v>45814.499305555553</v>
      </c>
    </row>
    <row r="515" spans="1:29" ht="16" x14ac:dyDescent="0.2">
      <c r="A515" s="90" t="s">
        <v>1</v>
      </c>
      <c r="B515" s="90" t="s">
        <v>658</v>
      </c>
      <c r="C515" s="90" t="s">
        <v>659</v>
      </c>
      <c r="D515" s="91">
        <v>29663</v>
      </c>
      <c r="E515" s="90">
        <v>44</v>
      </c>
      <c r="F515" s="90" t="s">
        <v>11</v>
      </c>
      <c r="G515" s="90" t="s">
        <v>11</v>
      </c>
      <c r="H515" s="90" t="s">
        <v>10</v>
      </c>
      <c r="I515" s="88"/>
      <c r="J515" s="90" t="s">
        <v>598</v>
      </c>
      <c r="K515" s="90" t="s">
        <v>599</v>
      </c>
      <c r="L515" s="90" t="s">
        <v>7</v>
      </c>
      <c r="M515" s="90" t="s">
        <v>396</v>
      </c>
      <c r="N515" s="88"/>
      <c r="O515" s="91">
        <v>45614</v>
      </c>
      <c r="P515" s="91">
        <v>45614</v>
      </c>
      <c r="Q515" s="91">
        <v>45621</v>
      </c>
      <c r="R515" s="91">
        <v>45624</v>
      </c>
      <c r="S515" s="91">
        <v>45667</v>
      </c>
      <c r="T515" s="91">
        <v>45667</v>
      </c>
      <c r="U515" s="90" t="s">
        <v>712</v>
      </c>
      <c r="V515" s="90" t="s">
        <v>224</v>
      </c>
      <c r="W515" s="90">
        <v>3</v>
      </c>
      <c r="X515" s="90" t="s">
        <v>708</v>
      </c>
      <c r="Y515" s="88"/>
      <c r="Z515" s="88"/>
      <c r="AA515" s="88"/>
      <c r="AB515" s="88"/>
      <c r="AC515" s="92">
        <v>45720.588888888888</v>
      </c>
    </row>
    <row r="516" spans="1:29" ht="16" x14ac:dyDescent="0.2">
      <c r="A516" s="90" t="s">
        <v>0</v>
      </c>
      <c r="B516" s="90" t="s">
        <v>278</v>
      </c>
      <c r="C516" s="90" t="s">
        <v>657</v>
      </c>
      <c r="D516" s="91">
        <v>24047</v>
      </c>
      <c r="E516" s="90">
        <v>60</v>
      </c>
      <c r="F516" s="90" t="s">
        <v>11</v>
      </c>
      <c r="G516" s="90" t="s">
        <v>11</v>
      </c>
      <c r="H516" s="90" t="s">
        <v>10</v>
      </c>
      <c r="I516" s="91">
        <v>45139</v>
      </c>
      <c r="J516" s="90" t="s">
        <v>237</v>
      </c>
      <c r="K516" s="90" t="s">
        <v>243</v>
      </c>
      <c r="L516" s="90" t="s">
        <v>3</v>
      </c>
      <c r="M516" s="90" t="s">
        <v>6</v>
      </c>
      <c r="N516" s="88"/>
      <c r="O516" s="91">
        <v>45611</v>
      </c>
      <c r="P516" s="91">
        <v>45621</v>
      </c>
      <c r="Q516" s="88"/>
      <c r="R516" s="88"/>
      <c r="S516" s="88"/>
      <c r="T516" s="88"/>
      <c r="U516" s="88"/>
      <c r="V516" s="90" t="s">
        <v>227</v>
      </c>
      <c r="W516" s="90">
        <v>0</v>
      </c>
      <c r="X516" s="88"/>
      <c r="Y516" s="88"/>
      <c r="Z516" s="88"/>
      <c r="AA516" s="88"/>
      <c r="AB516" s="88"/>
      <c r="AC516" s="92">
        <v>45653.807638888888</v>
      </c>
    </row>
    <row r="517" spans="1:29" ht="16" x14ac:dyDescent="0.2">
      <c r="A517" s="90" t="s">
        <v>1</v>
      </c>
      <c r="B517" s="90" t="s">
        <v>344</v>
      </c>
      <c r="C517" s="90" t="s">
        <v>345</v>
      </c>
      <c r="D517" s="91">
        <v>26538</v>
      </c>
      <c r="E517" s="90">
        <v>53</v>
      </c>
      <c r="F517" s="90" t="s">
        <v>10</v>
      </c>
      <c r="G517" s="90" t="s">
        <v>10</v>
      </c>
      <c r="H517" s="90" t="s">
        <v>10</v>
      </c>
      <c r="I517" s="88"/>
      <c r="J517" s="90" t="s">
        <v>155</v>
      </c>
      <c r="K517" s="90" t="s">
        <v>156</v>
      </c>
      <c r="L517" s="90" t="s">
        <v>3</v>
      </c>
      <c r="M517" s="90" t="s">
        <v>6</v>
      </c>
      <c r="N517" s="90" t="s">
        <v>119</v>
      </c>
      <c r="O517" s="91">
        <v>45611</v>
      </c>
      <c r="P517" s="91">
        <v>45779</v>
      </c>
      <c r="Q517" s="91">
        <v>45623</v>
      </c>
      <c r="R517" s="91">
        <v>45630</v>
      </c>
      <c r="S517" s="91">
        <v>45630</v>
      </c>
      <c r="T517" s="91">
        <v>45877</v>
      </c>
      <c r="U517" s="90" t="s">
        <v>407</v>
      </c>
      <c r="V517" s="90" t="s">
        <v>224</v>
      </c>
      <c r="W517" s="90">
        <v>1</v>
      </c>
      <c r="X517" s="90" t="s">
        <v>118</v>
      </c>
      <c r="Y517" s="91">
        <v>45627</v>
      </c>
      <c r="Z517" s="91">
        <v>45777</v>
      </c>
      <c r="AA517" s="88"/>
      <c r="AB517" s="88"/>
      <c r="AC517" s="92">
        <v>45953.4375</v>
      </c>
    </row>
    <row r="518" spans="1:29" ht="16" x14ac:dyDescent="0.2">
      <c r="A518" s="90" t="s">
        <v>0</v>
      </c>
      <c r="B518" s="90" t="s">
        <v>655</v>
      </c>
      <c r="C518" s="90" t="s">
        <v>656</v>
      </c>
      <c r="D518" s="91">
        <v>28135</v>
      </c>
      <c r="E518" s="90">
        <v>48</v>
      </c>
      <c r="F518" s="90" t="s">
        <v>10</v>
      </c>
      <c r="G518" s="90" t="s">
        <v>11</v>
      </c>
      <c r="H518" s="90" t="s">
        <v>10</v>
      </c>
      <c r="I518" s="91">
        <v>45566</v>
      </c>
      <c r="J518" s="90" t="s">
        <v>110</v>
      </c>
      <c r="K518" s="90" t="s">
        <v>128</v>
      </c>
      <c r="L518" s="90" t="s">
        <v>7</v>
      </c>
      <c r="M518" s="90" t="s">
        <v>6</v>
      </c>
      <c r="N518" s="90" t="s">
        <v>119</v>
      </c>
      <c r="O518" s="91">
        <v>45611</v>
      </c>
      <c r="P518" s="91">
        <v>45611</v>
      </c>
      <c r="Q518" s="91">
        <v>45611</v>
      </c>
      <c r="R518" s="91">
        <v>45615</v>
      </c>
      <c r="S518" s="91">
        <v>45615</v>
      </c>
      <c r="T518" s="91">
        <v>45853</v>
      </c>
      <c r="U518" s="90" t="s">
        <v>319</v>
      </c>
      <c r="V518" s="90" t="s">
        <v>224</v>
      </c>
      <c r="W518" s="90">
        <v>3</v>
      </c>
      <c r="X518" s="90" t="s">
        <v>708</v>
      </c>
      <c r="Y518" s="91">
        <v>45597</v>
      </c>
      <c r="Z518" s="91">
        <v>45777</v>
      </c>
      <c r="AA518" s="88"/>
      <c r="AB518" s="88"/>
      <c r="AC518" s="92">
        <v>45952.836111111108</v>
      </c>
    </row>
    <row r="519" spans="1:29" ht="16" x14ac:dyDescent="0.2">
      <c r="A519" s="90" t="s">
        <v>0</v>
      </c>
      <c r="B519" s="90" t="s">
        <v>584</v>
      </c>
      <c r="C519" s="90" t="s">
        <v>637</v>
      </c>
      <c r="D519" s="91">
        <v>27423</v>
      </c>
      <c r="E519" s="90">
        <v>50</v>
      </c>
      <c r="F519" s="90" t="s">
        <v>11</v>
      </c>
      <c r="G519" s="88"/>
      <c r="H519" s="90" t="s">
        <v>10</v>
      </c>
      <c r="I519" s="91">
        <v>43313</v>
      </c>
      <c r="J519" s="90" t="s">
        <v>246</v>
      </c>
      <c r="K519" s="90" t="s">
        <v>513</v>
      </c>
      <c r="L519" s="90" t="s">
        <v>3</v>
      </c>
      <c r="M519" s="90" t="s">
        <v>6</v>
      </c>
      <c r="N519" s="90" t="s">
        <v>117</v>
      </c>
      <c r="O519" s="91">
        <v>45610</v>
      </c>
      <c r="P519" s="91">
        <v>45610</v>
      </c>
      <c r="Q519" s="91">
        <v>45611</v>
      </c>
      <c r="R519" s="91">
        <v>45621</v>
      </c>
      <c r="S519" s="91">
        <v>45621</v>
      </c>
      <c r="T519" s="91">
        <v>45751</v>
      </c>
      <c r="U519" s="90" t="s">
        <v>91</v>
      </c>
      <c r="V519" s="90" t="s">
        <v>224</v>
      </c>
      <c r="W519" s="90">
        <v>1</v>
      </c>
      <c r="X519" s="90" t="s">
        <v>118</v>
      </c>
      <c r="Y519" s="91">
        <v>45597</v>
      </c>
      <c r="Z519" s="91">
        <v>45747</v>
      </c>
      <c r="AA519" s="88"/>
      <c r="AB519" s="88"/>
      <c r="AC519" s="92">
        <v>45751.446527777778</v>
      </c>
    </row>
    <row r="520" spans="1:29" ht="16" x14ac:dyDescent="0.2">
      <c r="A520" s="90" t="s">
        <v>0</v>
      </c>
      <c r="B520" s="90" t="s">
        <v>629</v>
      </c>
      <c r="C520" s="90" t="s">
        <v>630</v>
      </c>
      <c r="D520" s="91">
        <v>30423</v>
      </c>
      <c r="E520" s="90">
        <v>42</v>
      </c>
      <c r="F520" s="90" t="s">
        <v>11</v>
      </c>
      <c r="G520" s="88"/>
      <c r="H520" s="90" t="s">
        <v>10</v>
      </c>
      <c r="I520" s="91">
        <v>45261</v>
      </c>
      <c r="J520" s="90" t="s">
        <v>337</v>
      </c>
      <c r="K520" s="90" t="s">
        <v>338</v>
      </c>
      <c r="L520" s="90" t="s">
        <v>3</v>
      </c>
      <c r="M520" s="90" t="s">
        <v>6</v>
      </c>
      <c r="N520" s="88"/>
      <c r="O520" s="91">
        <v>45610</v>
      </c>
      <c r="P520" s="91">
        <v>45610</v>
      </c>
      <c r="Q520" s="91">
        <v>45611</v>
      </c>
      <c r="R520" s="91">
        <v>45613</v>
      </c>
      <c r="S520" s="91">
        <v>45623</v>
      </c>
      <c r="T520" s="91">
        <v>45623</v>
      </c>
      <c r="U520" s="90" t="s">
        <v>92</v>
      </c>
      <c r="V520" s="90" t="s">
        <v>224</v>
      </c>
      <c r="W520" s="90">
        <v>1</v>
      </c>
      <c r="X520" s="90" t="s">
        <v>118</v>
      </c>
      <c r="Y520" s="88"/>
      <c r="Z520" s="88"/>
      <c r="AA520" s="88"/>
      <c r="AB520" s="88"/>
      <c r="AC520" s="92">
        <v>45685.609722222223</v>
      </c>
    </row>
    <row r="521" spans="1:29" ht="16" x14ac:dyDescent="0.2">
      <c r="A521" s="90" t="s">
        <v>1</v>
      </c>
      <c r="B521" s="90" t="s">
        <v>580</v>
      </c>
      <c r="C521" s="90" t="s">
        <v>581</v>
      </c>
      <c r="D521" s="91">
        <v>24789</v>
      </c>
      <c r="E521" s="90">
        <v>58</v>
      </c>
      <c r="F521" s="90" t="s">
        <v>11</v>
      </c>
      <c r="G521" s="88"/>
      <c r="H521" s="90" t="s">
        <v>10</v>
      </c>
      <c r="I521" s="91">
        <v>40544</v>
      </c>
      <c r="J521" s="90" t="s">
        <v>337</v>
      </c>
      <c r="K521" s="90" t="s">
        <v>338</v>
      </c>
      <c r="L521" s="90" t="s">
        <v>3</v>
      </c>
      <c r="M521" s="90" t="s">
        <v>6</v>
      </c>
      <c r="N521" s="88"/>
      <c r="O521" s="91">
        <v>45610</v>
      </c>
      <c r="P521" s="91">
        <v>45610</v>
      </c>
      <c r="Q521" s="91">
        <v>45623</v>
      </c>
      <c r="R521" s="88"/>
      <c r="S521" s="91">
        <v>45623</v>
      </c>
      <c r="T521" s="91">
        <v>45623</v>
      </c>
      <c r="U521" s="90" t="s">
        <v>712</v>
      </c>
      <c r="V521" s="90" t="s">
        <v>224</v>
      </c>
      <c r="W521" s="90">
        <v>0</v>
      </c>
      <c r="X521" s="88"/>
      <c r="Y521" s="88"/>
      <c r="Z521" s="88"/>
      <c r="AA521" s="88"/>
      <c r="AB521" s="88"/>
      <c r="AC521" s="92">
        <v>45921.426388888889</v>
      </c>
    </row>
    <row r="522" spans="1:29" ht="16" x14ac:dyDescent="0.2">
      <c r="A522" s="90" t="s">
        <v>0</v>
      </c>
      <c r="B522" s="90" t="s">
        <v>502</v>
      </c>
      <c r="C522" s="90" t="s">
        <v>631</v>
      </c>
      <c r="D522" s="91">
        <v>23100</v>
      </c>
      <c r="E522" s="90">
        <v>62</v>
      </c>
      <c r="F522" s="90" t="s">
        <v>10</v>
      </c>
      <c r="G522" s="88"/>
      <c r="H522" s="90" t="s">
        <v>10</v>
      </c>
      <c r="I522" s="91">
        <v>45413</v>
      </c>
      <c r="J522" s="90" t="s">
        <v>165</v>
      </c>
      <c r="K522" s="90" t="s">
        <v>166</v>
      </c>
      <c r="L522" s="90" t="s">
        <v>3</v>
      </c>
      <c r="M522" s="90" t="s">
        <v>6</v>
      </c>
      <c r="N522" s="90" t="s">
        <v>119</v>
      </c>
      <c r="O522" s="91">
        <v>45610</v>
      </c>
      <c r="P522" s="91">
        <v>45610</v>
      </c>
      <c r="Q522" s="91">
        <v>45611</v>
      </c>
      <c r="R522" s="91">
        <v>45615</v>
      </c>
      <c r="S522" s="91">
        <v>45615</v>
      </c>
      <c r="T522" s="91">
        <v>45775</v>
      </c>
      <c r="U522" s="90" t="s">
        <v>319</v>
      </c>
      <c r="V522" s="90" t="s">
        <v>224</v>
      </c>
      <c r="W522" s="90">
        <v>1</v>
      </c>
      <c r="X522" s="90" t="s">
        <v>118</v>
      </c>
      <c r="Y522" s="91">
        <v>45627</v>
      </c>
      <c r="Z522" s="91">
        <v>45777</v>
      </c>
      <c r="AA522" s="88"/>
      <c r="AB522" s="88"/>
      <c r="AC522" s="92">
        <v>45775.679166666669</v>
      </c>
    </row>
    <row r="523" spans="1:29" ht="16" x14ac:dyDescent="0.2">
      <c r="A523" s="90" t="s">
        <v>0</v>
      </c>
      <c r="B523" s="90" t="s">
        <v>237</v>
      </c>
      <c r="C523" s="90" t="s">
        <v>238</v>
      </c>
      <c r="D523" s="91">
        <v>22927</v>
      </c>
      <c r="E523" s="90">
        <v>63</v>
      </c>
      <c r="F523" s="90" t="s">
        <v>11</v>
      </c>
      <c r="G523" s="88"/>
      <c r="H523" s="90" t="s">
        <v>10</v>
      </c>
      <c r="I523" s="91">
        <v>45352</v>
      </c>
      <c r="J523" s="90" t="s">
        <v>632</v>
      </c>
      <c r="K523" s="90" t="s">
        <v>495</v>
      </c>
      <c r="L523" s="90" t="s">
        <v>3</v>
      </c>
      <c r="M523" s="90" t="s">
        <v>6</v>
      </c>
      <c r="N523" s="90" t="s">
        <v>121</v>
      </c>
      <c r="O523" s="91">
        <v>45610</v>
      </c>
      <c r="P523" s="91">
        <v>45610</v>
      </c>
      <c r="Q523" s="91">
        <v>45611</v>
      </c>
      <c r="R523" s="91">
        <v>45623</v>
      </c>
      <c r="S523" s="91">
        <v>45623</v>
      </c>
      <c r="T523" s="91">
        <v>45751</v>
      </c>
      <c r="U523" s="90" t="s">
        <v>94</v>
      </c>
      <c r="V523" s="90" t="s">
        <v>224</v>
      </c>
      <c r="W523" s="90">
        <v>1</v>
      </c>
      <c r="X523" s="90" t="s">
        <v>118</v>
      </c>
      <c r="Y523" s="91">
        <v>45597</v>
      </c>
      <c r="Z523" s="91">
        <v>45747</v>
      </c>
      <c r="AA523" s="88"/>
      <c r="AB523" s="88"/>
      <c r="AC523" s="92">
        <v>45751.417361111111</v>
      </c>
    </row>
    <row r="524" spans="1:29" ht="16" x14ac:dyDescent="0.2">
      <c r="A524" s="90" t="s">
        <v>0</v>
      </c>
      <c r="B524" s="90" t="s">
        <v>144</v>
      </c>
      <c r="C524" s="90" t="s">
        <v>633</v>
      </c>
      <c r="D524" s="91">
        <v>30039</v>
      </c>
      <c r="E524" s="90">
        <v>43</v>
      </c>
      <c r="F524" s="90" t="s">
        <v>11</v>
      </c>
      <c r="G524" s="88"/>
      <c r="H524" s="90" t="s">
        <v>10</v>
      </c>
      <c r="I524" s="91">
        <v>44774</v>
      </c>
      <c r="J524" s="90" t="s">
        <v>151</v>
      </c>
      <c r="K524" s="90" t="s">
        <v>152</v>
      </c>
      <c r="L524" s="90" t="s">
        <v>3</v>
      </c>
      <c r="M524" s="90" t="s">
        <v>6</v>
      </c>
      <c r="N524" s="90" t="s">
        <v>119</v>
      </c>
      <c r="O524" s="91">
        <v>45610</v>
      </c>
      <c r="P524" s="91">
        <v>45610</v>
      </c>
      <c r="Q524" s="91">
        <v>45623</v>
      </c>
      <c r="R524" s="91">
        <v>45644</v>
      </c>
      <c r="S524" s="91">
        <v>45644</v>
      </c>
      <c r="T524" s="91">
        <v>45869</v>
      </c>
      <c r="U524" s="90" t="s">
        <v>218</v>
      </c>
      <c r="V524" s="90" t="s">
        <v>224</v>
      </c>
      <c r="W524" s="90">
        <v>1</v>
      </c>
      <c r="X524" s="90" t="s">
        <v>118</v>
      </c>
      <c r="Y524" s="91">
        <v>45627</v>
      </c>
      <c r="Z524" s="91">
        <v>45809</v>
      </c>
      <c r="AA524" s="88"/>
      <c r="AB524" s="88"/>
      <c r="AC524" s="92">
        <v>45874.480555555558</v>
      </c>
    </row>
    <row r="525" spans="1:29" ht="16" x14ac:dyDescent="0.2">
      <c r="A525" s="90" t="s">
        <v>1</v>
      </c>
      <c r="B525" s="90" t="s">
        <v>634</v>
      </c>
      <c r="C525" s="90" t="s">
        <v>635</v>
      </c>
      <c r="D525" s="91">
        <v>31831</v>
      </c>
      <c r="E525" s="90">
        <v>38</v>
      </c>
      <c r="F525" s="90" t="s">
        <v>11</v>
      </c>
      <c r="G525" s="88"/>
      <c r="H525" s="90" t="s">
        <v>10</v>
      </c>
      <c r="I525" s="91">
        <v>44440</v>
      </c>
      <c r="J525" s="90" t="s">
        <v>148</v>
      </c>
      <c r="K525" s="90" t="s">
        <v>636</v>
      </c>
      <c r="L525" s="90" t="s">
        <v>3</v>
      </c>
      <c r="M525" s="90" t="s">
        <v>6</v>
      </c>
      <c r="N525" s="90" t="s">
        <v>120</v>
      </c>
      <c r="O525" s="91">
        <v>45610</v>
      </c>
      <c r="P525" s="91">
        <v>45610</v>
      </c>
      <c r="Q525" s="91">
        <v>45625</v>
      </c>
      <c r="R525" s="91">
        <v>45637</v>
      </c>
      <c r="S525" s="91">
        <v>45677</v>
      </c>
      <c r="T525" s="91">
        <v>45750</v>
      </c>
      <c r="U525" s="90" t="s">
        <v>60</v>
      </c>
      <c r="V525" s="90" t="s">
        <v>224</v>
      </c>
      <c r="W525" s="90">
        <v>2</v>
      </c>
      <c r="X525" s="90" t="s">
        <v>228</v>
      </c>
      <c r="Y525" s="91">
        <v>45658</v>
      </c>
      <c r="Z525" s="91">
        <v>45839</v>
      </c>
      <c r="AA525" s="88"/>
      <c r="AB525" s="88"/>
      <c r="AC525" s="92">
        <v>45952.838888888888</v>
      </c>
    </row>
    <row r="526" spans="1:29" ht="16" x14ac:dyDescent="0.2">
      <c r="A526" s="90" t="s">
        <v>0</v>
      </c>
      <c r="B526" s="90" t="s">
        <v>266</v>
      </c>
      <c r="C526" s="90" t="s">
        <v>638</v>
      </c>
      <c r="D526" s="91">
        <v>29993</v>
      </c>
      <c r="E526" s="90">
        <v>43</v>
      </c>
      <c r="F526" s="90" t="s">
        <v>11</v>
      </c>
      <c r="G526" s="88"/>
      <c r="H526" s="90" t="s">
        <v>10</v>
      </c>
      <c r="I526" s="91">
        <v>44835</v>
      </c>
      <c r="J526" s="90" t="s">
        <v>639</v>
      </c>
      <c r="K526" s="90" t="s">
        <v>640</v>
      </c>
      <c r="L526" s="90" t="s">
        <v>3</v>
      </c>
      <c r="M526" s="90" t="s">
        <v>6</v>
      </c>
      <c r="N526" s="88"/>
      <c r="O526" s="91">
        <v>45610</v>
      </c>
      <c r="P526" s="91">
        <v>45610</v>
      </c>
      <c r="Q526" s="91">
        <v>45611</v>
      </c>
      <c r="R526" s="88"/>
      <c r="S526" s="88"/>
      <c r="T526" s="88"/>
      <c r="U526" s="88"/>
      <c r="V526" s="90" t="s">
        <v>227</v>
      </c>
      <c r="W526" s="90">
        <v>0</v>
      </c>
      <c r="X526" s="88"/>
      <c r="Y526" s="88"/>
      <c r="Z526" s="88"/>
      <c r="AA526" s="88"/>
      <c r="AB526" s="88"/>
      <c r="AC526" s="92">
        <v>45611.629861111112</v>
      </c>
    </row>
    <row r="527" spans="1:29" ht="16" x14ac:dyDescent="0.2">
      <c r="A527" s="90" t="s">
        <v>1</v>
      </c>
      <c r="B527" s="90" t="s">
        <v>547</v>
      </c>
      <c r="C527" s="90" t="s">
        <v>641</v>
      </c>
      <c r="D527" s="91">
        <v>32507</v>
      </c>
      <c r="E527" s="90">
        <v>37</v>
      </c>
      <c r="F527" s="90" t="s">
        <v>11</v>
      </c>
      <c r="G527" s="88"/>
      <c r="H527" s="90" t="s">
        <v>10</v>
      </c>
      <c r="I527" s="91">
        <v>45170</v>
      </c>
      <c r="J527" s="90" t="s">
        <v>642</v>
      </c>
      <c r="K527" s="90" t="s">
        <v>643</v>
      </c>
      <c r="L527" s="90" t="s">
        <v>3</v>
      </c>
      <c r="M527" s="90" t="s">
        <v>6</v>
      </c>
      <c r="N527" s="90" t="s">
        <v>119</v>
      </c>
      <c r="O527" s="91">
        <v>45610</v>
      </c>
      <c r="P527" s="91">
        <v>45610</v>
      </c>
      <c r="Q527" s="91">
        <v>45614</v>
      </c>
      <c r="R527" s="91">
        <v>45623</v>
      </c>
      <c r="S527" s="91">
        <v>45623</v>
      </c>
      <c r="T527" s="91">
        <v>45808</v>
      </c>
      <c r="U527" s="90" t="s">
        <v>218</v>
      </c>
      <c r="V527" s="90" t="s">
        <v>224</v>
      </c>
      <c r="W527" s="90">
        <v>1</v>
      </c>
      <c r="X527" s="90" t="s">
        <v>118</v>
      </c>
      <c r="Y527" s="88"/>
      <c r="Z527" s="88"/>
      <c r="AA527" s="88"/>
      <c r="AB527" s="88"/>
      <c r="AC527" s="92">
        <v>45848.626388888886</v>
      </c>
    </row>
    <row r="528" spans="1:29" ht="16" x14ac:dyDescent="0.2">
      <c r="A528" s="90" t="s">
        <v>0</v>
      </c>
      <c r="B528" s="90" t="s">
        <v>304</v>
      </c>
      <c r="C528" s="90" t="s">
        <v>644</v>
      </c>
      <c r="D528" s="91">
        <v>35714</v>
      </c>
      <c r="E528" s="90">
        <v>28</v>
      </c>
      <c r="F528" s="90" t="s">
        <v>11</v>
      </c>
      <c r="G528" s="88"/>
      <c r="H528" s="90" t="s">
        <v>10</v>
      </c>
      <c r="I528" s="91">
        <v>45352</v>
      </c>
      <c r="J528" s="90" t="s">
        <v>493</v>
      </c>
      <c r="K528" s="90" t="s">
        <v>494</v>
      </c>
      <c r="L528" s="90" t="s">
        <v>3</v>
      </c>
      <c r="M528" s="90" t="s">
        <v>6</v>
      </c>
      <c r="N528" s="88"/>
      <c r="O528" s="91">
        <v>45610</v>
      </c>
      <c r="P528" s="91">
        <v>45610</v>
      </c>
      <c r="Q528" s="91">
        <v>45610</v>
      </c>
      <c r="R528" s="91">
        <v>45613</v>
      </c>
      <c r="S528" s="91">
        <v>45621</v>
      </c>
      <c r="T528" s="91">
        <v>45621</v>
      </c>
      <c r="U528" s="90" t="s">
        <v>712</v>
      </c>
      <c r="V528" s="90" t="s">
        <v>224</v>
      </c>
      <c r="W528" s="90">
        <v>1</v>
      </c>
      <c r="X528" s="90" t="s">
        <v>118</v>
      </c>
      <c r="Y528" s="88"/>
      <c r="Z528" s="88"/>
      <c r="AA528" s="88"/>
      <c r="AB528" s="88"/>
      <c r="AC528" s="92">
        <v>45720.519444444442</v>
      </c>
    </row>
    <row r="529" spans="1:29" ht="16" x14ac:dyDescent="0.2">
      <c r="A529" s="90" t="s">
        <v>0</v>
      </c>
      <c r="B529" s="90" t="s">
        <v>586</v>
      </c>
      <c r="C529" s="90" t="s">
        <v>587</v>
      </c>
      <c r="D529" s="91">
        <v>26705</v>
      </c>
      <c r="E529" s="90">
        <v>52</v>
      </c>
      <c r="F529" s="90" t="s">
        <v>11</v>
      </c>
      <c r="G529" s="88"/>
      <c r="H529" s="90" t="s">
        <v>10</v>
      </c>
      <c r="I529" s="91">
        <v>43160</v>
      </c>
      <c r="J529" s="90" t="s">
        <v>337</v>
      </c>
      <c r="K529" s="90" t="s">
        <v>608</v>
      </c>
      <c r="L529" s="90" t="s">
        <v>3</v>
      </c>
      <c r="M529" s="90" t="s">
        <v>6</v>
      </c>
      <c r="N529" s="90" t="s">
        <v>174</v>
      </c>
      <c r="O529" s="91">
        <v>45610</v>
      </c>
      <c r="P529" s="91">
        <v>45610</v>
      </c>
      <c r="Q529" s="91">
        <v>45610</v>
      </c>
      <c r="R529" s="91">
        <v>45621</v>
      </c>
      <c r="S529" s="91">
        <v>45621</v>
      </c>
      <c r="T529" s="91">
        <v>45841</v>
      </c>
      <c r="U529" s="90" t="s">
        <v>319</v>
      </c>
      <c r="V529" s="90" t="s">
        <v>224</v>
      </c>
      <c r="W529" s="90">
        <v>1</v>
      </c>
      <c r="X529" s="90" t="s">
        <v>118</v>
      </c>
      <c r="Y529" s="91">
        <v>45597</v>
      </c>
      <c r="Z529" s="91">
        <v>45747</v>
      </c>
      <c r="AA529" s="88"/>
      <c r="AB529" s="88"/>
      <c r="AC529" s="92">
        <v>45874.408333333333</v>
      </c>
    </row>
    <row r="530" spans="1:29" ht="16" x14ac:dyDescent="0.2">
      <c r="A530" s="90" t="s">
        <v>1</v>
      </c>
      <c r="B530" s="90" t="s">
        <v>263</v>
      </c>
      <c r="C530" s="90" t="s">
        <v>286</v>
      </c>
      <c r="D530" s="91">
        <v>35984</v>
      </c>
      <c r="E530" s="90">
        <v>27</v>
      </c>
      <c r="F530" s="90" t="s">
        <v>11</v>
      </c>
      <c r="G530" s="88"/>
      <c r="H530" s="90" t="s">
        <v>10</v>
      </c>
      <c r="I530" s="91">
        <v>43009</v>
      </c>
      <c r="J530" s="90" t="s">
        <v>148</v>
      </c>
      <c r="K530" s="90" t="s">
        <v>149</v>
      </c>
      <c r="L530" s="90" t="s">
        <v>3</v>
      </c>
      <c r="M530" s="90" t="s">
        <v>6</v>
      </c>
      <c r="N530" s="90" t="s">
        <v>119</v>
      </c>
      <c r="O530" s="91">
        <v>45610</v>
      </c>
      <c r="P530" s="91">
        <v>45952</v>
      </c>
      <c r="Q530" s="91">
        <v>45618</v>
      </c>
      <c r="R530" s="91">
        <v>45621</v>
      </c>
      <c r="S530" s="91">
        <v>45621</v>
      </c>
      <c r="T530" s="91">
        <v>45901</v>
      </c>
      <c r="U530" s="90" t="s">
        <v>407</v>
      </c>
      <c r="V530" s="90" t="s">
        <v>224</v>
      </c>
      <c r="W530" s="90">
        <v>2</v>
      </c>
      <c r="X530" s="90" t="s">
        <v>118</v>
      </c>
      <c r="Y530" s="91">
        <v>45717</v>
      </c>
      <c r="Z530" s="91">
        <v>45838</v>
      </c>
      <c r="AA530" s="88"/>
      <c r="AB530" s="88"/>
      <c r="AC530" s="92">
        <v>45953.406944444447</v>
      </c>
    </row>
    <row r="531" spans="1:29" ht="16" x14ac:dyDescent="0.2">
      <c r="A531" s="90" t="s">
        <v>0</v>
      </c>
      <c r="B531" s="90" t="s">
        <v>645</v>
      </c>
      <c r="C531" s="90" t="s">
        <v>646</v>
      </c>
      <c r="D531" s="91">
        <v>29143</v>
      </c>
      <c r="E531" s="90">
        <v>46</v>
      </c>
      <c r="F531" s="90" t="s">
        <v>11</v>
      </c>
      <c r="G531" s="88"/>
      <c r="H531" s="90" t="s">
        <v>10</v>
      </c>
      <c r="I531" s="91">
        <v>44409</v>
      </c>
      <c r="J531" s="90" t="s">
        <v>331</v>
      </c>
      <c r="K531" s="90" t="s">
        <v>332</v>
      </c>
      <c r="L531" s="90" t="s">
        <v>3</v>
      </c>
      <c r="M531" s="90" t="s">
        <v>6</v>
      </c>
      <c r="N531" s="90" t="s">
        <v>175</v>
      </c>
      <c r="O531" s="91">
        <v>45610</v>
      </c>
      <c r="P531" s="91">
        <v>45610</v>
      </c>
      <c r="Q531" s="91">
        <v>45623</v>
      </c>
      <c r="R531" s="91">
        <v>45637</v>
      </c>
      <c r="S531" s="91">
        <v>45637</v>
      </c>
      <c r="T531" s="91">
        <v>45838</v>
      </c>
      <c r="U531" s="90" t="s">
        <v>220</v>
      </c>
      <c r="V531" s="90" t="s">
        <v>224</v>
      </c>
      <c r="W531" s="90">
        <v>1</v>
      </c>
      <c r="X531" s="90" t="s">
        <v>118</v>
      </c>
      <c r="Y531" s="91">
        <v>45627</v>
      </c>
      <c r="Z531" s="91">
        <v>45777</v>
      </c>
      <c r="AA531" s="88"/>
      <c r="AB531" s="88"/>
      <c r="AC531" s="92">
        <v>45874.489583333336</v>
      </c>
    </row>
    <row r="532" spans="1:29" ht="16" x14ac:dyDescent="0.2">
      <c r="A532" s="90" t="s">
        <v>0</v>
      </c>
      <c r="B532" s="90" t="s">
        <v>647</v>
      </c>
      <c r="C532" s="90" t="s">
        <v>648</v>
      </c>
      <c r="D532" s="91">
        <v>28319</v>
      </c>
      <c r="E532" s="90">
        <v>48</v>
      </c>
      <c r="F532" s="90" t="s">
        <v>10</v>
      </c>
      <c r="G532" s="88"/>
      <c r="H532" s="90" t="s">
        <v>10</v>
      </c>
      <c r="I532" s="91">
        <v>43191</v>
      </c>
      <c r="J532" s="90" t="s">
        <v>153</v>
      </c>
      <c r="K532" s="90" t="s">
        <v>154</v>
      </c>
      <c r="L532" s="90" t="s">
        <v>3</v>
      </c>
      <c r="M532" s="90" t="s">
        <v>6</v>
      </c>
      <c r="N532" s="90" t="s">
        <v>175</v>
      </c>
      <c r="O532" s="91">
        <v>45610</v>
      </c>
      <c r="P532" s="91">
        <v>45610</v>
      </c>
      <c r="Q532" s="91">
        <v>45614</v>
      </c>
      <c r="R532" s="91">
        <v>45618</v>
      </c>
      <c r="S532" s="91">
        <v>45614</v>
      </c>
      <c r="T532" s="91">
        <v>45789</v>
      </c>
      <c r="U532" s="90" t="s">
        <v>67</v>
      </c>
      <c r="V532" s="90" t="s">
        <v>224</v>
      </c>
      <c r="W532" s="90">
        <v>1</v>
      </c>
      <c r="X532" s="90" t="s">
        <v>118</v>
      </c>
      <c r="Y532" s="91">
        <v>45658</v>
      </c>
      <c r="Z532" s="91">
        <v>45839</v>
      </c>
      <c r="AA532" s="88"/>
      <c r="AB532" s="88"/>
      <c r="AC532" s="92">
        <v>45789.636805555558</v>
      </c>
    </row>
    <row r="533" spans="1:29" ht="16" x14ac:dyDescent="0.2">
      <c r="A533" s="90" t="s">
        <v>0</v>
      </c>
      <c r="B533" s="90" t="s">
        <v>161</v>
      </c>
      <c r="C533" s="90" t="s">
        <v>649</v>
      </c>
      <c r="D533" s="91">
        <v>25907</v>
      </c>
      <c r="E533" s="90">
        <v>55</v>
      </c>
      <c r="F533" s="90" t="s">
        <v>11</v>
      </c>
      <c r="G533" s="88"/>
      <c r="H533" s="90" t="s">
        <v>10</v>
      </c>
      <c r="I533" s="91">
        <v>45328</v>
      </c>
      <c r="J533" s="90" t="s">
        <v>165</v>
      </c>
      <c r="K533" s="90" t="s">
        <v>166</v>
      </c>
      <c r="L533" s="90" t="s">
        <v>3</v>
      </c>
      <c r="M533" s="90" t="s">
        <v>6</v>
      </c>
      <c r="N533" s="88"/>
      <c r="O533" s="91">
        <v>45610</v>
      </c>
      <c r="P533" s="91">
        <v>45610</v>
      </c>
      <c r="Q533" s="91">
        <v>45610</v>
      </c>
      <c r="R533" s="91">
        <v>45615</v>
      </c>
      <c r="S533" s="91">
        <v>45615</v>
      </c>
      <c r="T533" s="91">
        <v>45700</v>
      </c>
      <c r="U533" s="90" t="s">
        <v>712</v>
      </c>
      <c r="V533" s="90" t="s">
        <v>224</v>
      </c>
      <c r="W533" s="90">
        <v>1</v>
      </c>
      <c r="X533" s="90" t="s">
        <v>228</v>
      </c>
      <c r="Y533" s="88"/>
      <c r="Z533" s="88"/>
      <c r="AA533" s="88"/>
      <c r="AB533" s="88"/>
      <c r="AC533" s="92">
        <v>45720.496527777781</v>
      </c>
    </row>
    <row r="534" spans="1:29" ht="16" x14ac:dyDescent="0.2">
      <c r="A534" s="90" t="s">
        <v>0</v>
      </c>
      <c r="B534" s="90" t="s">
        <v>336</v>
      </c>
      <c r="C534" s="90" t="s">
        <v>654</v>
      </c>
      <c r="D534" s="91">
        <v>24146</v>
      </c>
      <c r="E534" s="90">
        <v>59</v>
      </c>
      <c r="F534" s="90" t="s">
        <v>11</v>
      </c>
      <c r="G534" s="88"/>
      <c r="H534" s="90" t="s">
        <v>10</v>
      </c>
      <c r="I534" s="91">
        <v>43617</v>
      </c>
      <c r="J534" s="90" t="s">
        <v>295</v>
      </c>
      <c r="K534" s="90" t="s">
        <v>296</v>
      </c>
      <c r="L534" s="90" t="s">
        <v>3</v>
      </c>
      <c r="M534" s="90" t="s">
        <v>6</v>
      </c>
      <c r="N534" s="90" t="s">
        <v>119</v>
      </c>
      <c r="O534" s="91">
        <v>45610</v>
      </c>
      <c r="P534" s="91">
        <v>45610</v>
      </c>
      <c r="Q534" s="91">
        <v>45621</v>
      </c>
      <c r="R534" s="91">
        <v>45630</v>
      </c>
      <c r="S534" s="91">
        <v>45637</v>
      </c>
      <c r="T534" s="91">
        <v>45869</v>
      </c>
      <c r="U534" s="90" t="s">
        <v>1114</v>
      </c>
      <c r="V534" s="90" t="s">
        <v>224</v>
      </c>
      <c r="W534" s="90">
        <v>2</v>
      </c>
      <c r="X534" s="90" t="s">
        <v>228</v>
      </c>
      <c r="Y534" s="91">
        <v>45627</v>
      </c>
      <c r="Z534" s="91">
        <v>45777</v>
      </c>
      <c r="AA534" s="88"/>
      <c r="AB534" s="88"/>
      <c r="AC534" s="92">
        <v>45952.838888888888</v>
      </c>
    </row>
    <row r="535" spans="1:29" ht="16" x14ac:dyDescent="0.2">
      <c r="A535" s="90" t="s">
        <v>0</v>
      </c>
      <c r="B535" s="90" t="s">
        <v>34</v>
      </c>
      <c r="C535" s="90" t="s">
        <v>650</v>
      </c>
      <c r="D535" s="91">
        <v>28500</v>
      </c>
      <c r="E535" s="90">
        <v>47</v>
      </c>
      <c r="F535" s="90" t="s">
        <v>11</v>
      </c>
      <c r="G535" s="88"/>
      <c r="H535" s="90" t="s">
        <v>10</v>
      </c>
      <c r="I535" s="91">
        <v>44805</v>
      </c>
      <c r="J535" s="90" t="s">
        <v>165</v>
      </c>
      <c r="K535" s="90" t="s">
        <v>651</v>
      </c>
      <c r="L535" s="90" t="s">
        <v>3</v>
      </c>
      <c r="M535" s="90" t="s">
        <v>6</v>
      </c>
      <c r="N535" s="90" t="s">
        <v>117</v>
      </c>
      <c r="O535" s="91">
        <v>45610</v>
      </c>
      <c r="P535" s="91">
        <v>45853</v>
      </c>
      <c r="Q535" s="91">
        <v>45623</v>
      </c>
      <c r="R535" s="91">
        <v>45638</v>
      </c>
      <c r="S535" s="91">
        <v>45672</v>
      </c>
      <c r="T535" s="91">
        <v>45877</v>
      </c>
      <c r="U535" s="90" t="s">
        <v>408</v>
      </c>
      <c r="V535" s="90" t="s">
        <v>224</v>
      </c>
      <c r="W535" s="90">
        <v>1</v>
      </c>
      <c r="X535" s="90" t="s">
        <v>118</v>
      </c>
      <c r="Y535" s="91">
        <v>45658</v>
      </c>
      <c r="Z535" s="91">
        <v>45839</v>
      </c>
      <c r="AA535" s="88"/>
      <c r="AB535" s="88"/>
      <c r="AC535" s="92">
        <v>45877.411805555559</v>
      </c>
    </row>
    <row r="536" spans="1:29" ht="16" x14ac:dyDescent="0.2">
      <c r="A536" s="90" t="s">
        <v>0</v>
      </c>
      <c r="B536" s="90" t="s">
        <v>652</v>
      </c>
      <c r="C536" s="90" t="s">
        <v>564</v>
      </c>
      <c r="D536" s="91">
        <v>27183</v>
      </c>
      <c r="E536" s="90">
        <v>51</v>
      </c>
      <c r="F536" s="90" t="s">
        <v>10</v>
      </c>
      <c r="G536" s="88"/>
      <c r="H536" s="90" t="s">
        <v>10</v>
      </c>
      <c r="I536" s="91">
        <v>45444</v>
      </c>
      <c r="J536" s="90" t="s">
        <v>134</v>
      </c>
      <c r="K536" s="90" t="s">
        <v>135</v>
      </c>
      <c r="L536" s="90" t="s">
        <v>3</v>
      </c>
      <c r="M536" s="90" t="s">
        <v>6</v>
      </c>
      <c r="N536" s="90" t="s">
        <v>120</v>
      </c>
      <c r="O536" s="91">
        <v>45610</v>
      </c>
      <c r="P536" s="91">
        <v>45685</v>
      </c>
      <c r="Q536" s="91">
        <v>45610</v>
      </c>
      <c r="R536" s="91">
        <v>45621</v>
      </c>
      <c r="S536" s="91">
        <v>45621</v>
      </c>
      <c r="T536" s="91">
        <v>45667</v>
      </c>
      <c r="U536" s="90" t="s">
        <v>92</v>
      </c>
      <c r="V536" s="90" t="s">
        <v>224</v>
      </c>
      <c r="W536" s="90">
        <v>1</v>
      </c>
      <c r="X536" s="90" t="s">
        <v>118</v>
      </c>
      <c r="Y536" s="91">
        <v>45597</v>
      </c>
      <c r="Z536" s="91">
        <v>45747</v>
      </c>
      <c r="AA536" s="88"/>
      <c r="AB536" s="88"/>
      <c r="AC536" s="92">
        <v>45685.606944444444</v>
      </c>
    </row>
    <row r="537" spans="1:29" ht="16" x14ac:dyDescent="0.2">
      <c r="A537" s="90" t="s">
        <v>1</v>
      </c>
      <c r="B537" s="90" t="s">
        <v>441</v>
      </c>
      <c r="C537" s="90" t="s">
        <v>442</v>
      </c>
      <c r="D537" s="91">
        <v>34021</v>
      </c>
      <c r="E537" s="90">
        <v>32</v>
      </c>
      <c r="F537" s="90" t="s">
        <v>11</v>
      </c>
      <c r="G537" s="88"/>
      <c r="H537" s="88"/>
      <c r="I537" s="88"/>
      <c r="J537" s="90" t="s">
        <v>145</v>
      </c>
      <c r="K537" s="90" t="s">
        <v>146</v>
      </c>
      <c r="L537" s="90" t="s">
        <v>3</v>
      </c>
      <c r="M537" s="90" t="s">
        <v>6</v>
      </c>
      <c r="N537" s="90" t="s">
        <v>119</v>
      </c>
      <c r="O537" s="91">
        <v>45610</v>
      </c>
      <c r="P537" s="91">
        <v>45610</v>
      </c>
      <c r="Q537" s="91">
        <v>45628</v>
      </c>
      <c r="R537" s="91">
        <v>45684</v>
      </c>
      <c r="S537" s="91">
        <v>45628</v>
      </c>
      <c r="T537" s="91">
        <v>45791</v>
      </c>
      <c r="U537" s="90" t="s">
        <v>407</v>
      </c>
      <c r="V537" s="90" t="s">
        <v>224</v>
      </c>
      <c r="W537" s="90">
        <v>1</v>
      </c>
      <c r="X537" s="90" t="s">
        <v>118</v>
      </c>
      <c r="Y537" s="91">
        <v>45658</v>
      </c>
      <c r="Z537" s="91">
        <v>45839</v>
      </c>
      <c r="AA537" s="88"/>
      <c r="AB537" s="88"/>
      <c r="AC537" s="92">
        <v>45791.661805555559</v>
      </c>
    </row>
    <row r="538" spans="1:29" ht="16" x14ac:dyDescent="0.2">
      <c r="A538" s="90" t="s">
        <v>1</v>
      </c>
      <c r="B538" s="90" t="s">
        <v>574</v>
      </c>
      <c r="C538" s="90" t="s">
        <v>653</v>
      </c>
      <c r="D538" s="91">
        <v>32961</v>
      </c>
      <c r="E538" s="90">
        <v>35</v>
      </c>
      <c r="F538" s="90" t="s">
        <v>11</v>
      </c>
      <c r="G538" s="88"/>
      <c r="H538" s="90" t="s">
        <v>10</v>
      </c>
      <c r="I538" s="91">
        <v>45292</v>
      </c>
      <c r="J538" s="90" t="s">
        <v>250</v>
      </c>
      <c r="K538" s="90" t="s">
        <v>255</v>
      </c>
      <c r="L538" s="90" t="s">
        <v>3</v>
      </c>
      <c r="M538" s="90" t="s">
        <v>6</v>
      </c>
      <c r="N538" s="90" t="s">
        <v>176</v>
      </c>
      <c r="O538" s="91">
        <v>45610</v>
      </c>
      <c r="P538" s="91">
        <v>45610</v>
      </c>
      <c r="Q538" s="91">
        <v>45632</v>
      </c>
      <c r="R538" s="91">
        <v>45644</v>
      </c>
      <c r="S538" s="91">
        <v>45644</v>
      </c>
      <c r="T538" s="91">
        <v>45838</v>
      </c>
      <c r="U538" s="90" t="s">
        <v>218</v>
      </c>
      <c r="V538" s="90" t="s">
        <v>224</v>
      </c>
      <c r="W538" s="90">
        <v>1</v>
      </c>
      <c r="X538" s="90" t="s">
        <v>118</v>
      </c>
      <c r="Y538" s="91">
        <v>45627</v>
      </c>
      <c r="Z538" s="91">
        <v>45809</v>
      </c>
      <c r="AA538" s="88"/>
      <c r="AB538" s="88"/>
      <c r="AC538" s="92">
        <v>45825.400694444441</v>
      </c>
    </row>
    <row r="539" spans="1:29" ht="16" x14ac:dyDescent="0.2">
      <c r="A539" s="90" t="s">
        <v>1</v>
      </c>
      <c r="B539" s="90" t="s">
        <v>2</v>
      </c>
      <c r="C539" s="90" t="s">
        <v>626</v>
      </c>
      <c r="D539" s="91">
        <v>28102</v>
      </c>
      <c r="E539" s="90">
        <v>49</v>
      </c>
      <c r="F539" s="90" t="s">
        <v>10</v>
      </c>
      <c r="G539" s="90" t="s">
        <v>10</v>
      </c>
      <c r="H539" s="90" t="s">
        <v>10</v>
      </c>
      <c r="I539" s="91">
        <v>43192</v>
      </c>
      <c r="J539" s="90" t="s">
        <v>375</v>
      </c>
      <c r="K539" s="90" t="s">
        <v>376</v>
      </c>
      <c r="L539" s="90" t="s">
        <v>7</v>
      </c>
      <c r="M539" s="90" t="s">
        <v>6</v>
      </c>
      <c r="N539" s="90" t="s">
        <v>120</v>
      </c>
      <c r="O539" s="91">
        <v>45609</v>
      </c>
      <c r="P539" s="91">
        <v>45609</v>
      </c>
      <c r="Q539" s="91">
        <v>45611</v>
      </c>
      <c r="R539" s="91">
        <v>45617</v>
      </c>
      <c r="S539" s="91">
        <v>45617</v>
      </c>
      <c r="T539" s="91">
        <v>45869</v>
      </c>
      <c r="U539" s="90" t="s">
        <v>407</v>
      </c>
      <c r="V539" s="90" t="s">
        <v>224</v>
      </c>
      <c r="W539" s="90">
        <v>8</v>
      </c>
      <c r="X539" s="90" t="s">
        <v>708</v>
      </c>
      <c r="Y539" s="91">
        <v>45597</v>
      </c>
      <c r="Z539" s="91">
        <v>45777</v>
      </c>
      <c r="AA539" s="88"/>
      <c r="AB539" s="88"/>
      <c r="AC539" s="92">
        <v>45952.864583333336</v>
      </c>
    </row>
    <row r="540" spans="1:29" ht="16" x14ac:dyDescent="0.2">
      <c r="A540" s="90" t="s">
        <v>1</v>
      </c>
      <c r="B540" s="90" t="s">
        <v>624</v>
      </c>
      <c r="C540" s="90" t="s">
        <v>625</v>
      </c>
      <c r="D540" s="91">
        <v>28027</v>
      </c>
      <c r="E540" s="90">
        <v>49</v>
      </c>
      <c r="F540" s="90" t="s">
        <v>11</v>
      </c>
      <c r="G540" s="90" t="s">
        <v>11</v>
      </c>
      <c r="H540" s="90" t="s">
        <v>10</v>
      </c>
      <c r="I540" s="91">
        <v>43466</v>
      </c>
      <c r="J540" s="90" t="s">
        <v>136</v>
      </c>
      <c r="K540" s="90" t="s">
        <v>512</v>
      </c>
      <c r="L540" s="90" t="s">
        <v>7</v>
      </c>
      <c r="M540" s="90" t="s">
        <v>6</v>
      </c>
      <c r="N540" s="90" t="s">
        <v>119</v>
      </c>
      <c r="O540" s="91">
        <v>45609</v>
      </c>
      <c r="P540" s="91">
        <v>45611</v>
      </c>
      <c r="Q540" s="91">
        <v>45611</v>
      </c>
      <c r="R540" s="91">
        <v>45614</v>
      </c>
      <c r="S540" s="91">
        <v>45614</v>
      </c>
      <c r="T540" s="91">
        <v>45776</v>
      </c>
      <c r="U540" s="90" t="s">
        <v>407</v>
      </c>
      <c r="V540" s="90" t="s">
        <v>224</v>
      </c>
      <c r="W540" s="90">
        <v>4</v>
      </c>
      <c r="X540" s="90" t="s">
        <v>708</v>
      </c>
      <c r="Y540" s="91">
        <v>45597</v>
      </c>
      <c r="Z540" s="91">
        <v>45777</v>
      </c>
      <c r="AA540" s="88"/>
      <c r="AB540" s="88"/>
      <c r="AC540" s="92">
        <v>45776.718055555553</v>
      </c>
    </row>
    <row r="541" spans="1:29" ht="16" x14ac:dyDescent="0.2">
      <c r="A541" s="90" t="s">
        <v>1</v>
      </c>
      <c r="B541" s="90" t="s">
        <v>627</v>
      </c>
      <c r="C541" s="90" t="s">
        <v>628</v>
      </c>
      <c r="D541" s="91">
        <v>26301</v>
      </c>
      <c r="E541" s="90">
        <v>53</v>
      </c>
      <c r="F541" s="90" t="s">
        <v>11</v>
      </c>
      <c r="G541" s="90" t="s">
        <v>10</v>
      </c>
      <c r="H541" s="90" t="s">
        <v>10</v>
      </c>
      <c r="I541" s="91">
        <v>43952</v>
      </c>
      <c r="J541" s="90" t="s">
        <v>161</v>
      </c>
      <c r="K541" s="90" t="s">
        <v>208</v>
      </c>
      <c r="L541" s="90" t="s">
        <v>7</v>
      </c>
      <c r="M541" s="90" t="s">
        <v>6</v>
      </c>
      <c r="N541" s="90" t="s">
        <v>119</v>
      </c>
      <c r="O541" s="91">
        <v>45609</v>
      </c>
      <c r="P541" s="91">
        <v>45764</v>
      </c>
      <c r="Q541" s="91">
        <v>45623</v>
      </c>
      <c r="R541" s="91">
        <v>45625</v>
      </c>
      <c r="S541" s="91">
        <v>45625</v>
      </c>
      <c r="T541" s="91">
        <v>45770</v>
      </c>
      <c r="U541" s="90" t="s">
        <v>319</v>
      </c>
      <c r="V541" s="90" t="s">
        <v>224</v>
      </c>
      <c r="W541" s="90">
        <v>2</v>
      </c>
      <c r="X541" s="90" t="s">
        <v>708</v>
      </c>
      <c r="Y541" s="91">
        <v>45597</v>
      </c>
      <c r="Z541" s="91">
        <v>45777</v>
      </c>
      <c r="AA541" s="88"/>
      <c r="AB541" s="88"/>
      <c r="AC541" s="92">
        <v>45770.65</v>
      </c>
    </row>
    <row r="542" spans="1:29" ht="16" x14ac:dyDescent="0.2">
      <c r="A542" s="90" t="s">
        <v>1</v>
      </c>
      <c r="B542" s="90" t="s">
        <v>384</v>
      </c>
      <c r="C542" s="90" t="s">
        <v>538</v>
      </c>
      <c r="D542" s="91">
        <v>27236</v>
      </c>
      <c r="E542" s="90">
        <v>51</v>
      </c>
      <c r="F542" s="90" t="s">
        <v>10</v>
      </c>
      <c r="G542" s="88"/>
      <c r="H542" s="90" t="s">
        <v>10</v>
      </c>
      <c r="I542" s="91">
        <v>44378</v>
      </c>
      <c r="J542" s="90" t="s">
        <v>337</v>
      </c>
      <c r="K542" s="90" t="s">
        <v>338</v>
      </c>
      <c r="L542" s="90" t="s">
        <v>3</v>
      </c>
      <c r="M542" s="90" t="s">
        <v>6</v>
      </c>
      <c r="N542" s="90" t="s">
        <v>120</v>
      </c>
      <c r="O542" s="91">
        <v>45608</v>
      </c>
      <c r="P542" s="91">
        <v>45953</v>
      </c>
      <c r="Q542" s="91">
        <v>45611</v>
      </c>
      <c r="R542" s="91">
        <v>45621</v>
      </c>
      <c r="S542" s="91">
        <v>45621</v>
      </c>
      <c r="T542" s="91">
        <v>45874</v>
      </c>
      <c r="U542" s="90" t="s">
        <v>319</v>
      </c>
      <c r="V542" s="90" t="s">
        <v>32</v>
      </c>
      <c r="W542" s="90">
        <v>1</v>
      </c>
      <c r="X542" s="90" t="s">
        <v>118</v>
      </c>
      <c r="Y542" s="91">
        <v>45597</v>
      </c>
      <c r="Z542" s="91">
        <v>45747</v>
      </c>
      <c r="AA542" s="91">
        <v>45839</v>
      </c>
      <c r="AB542" s="91">
        <v>45930</v>
      </c>
      <c r="AC542" s="92">
        <v>45953.664583333331</v>
      </c>
    </row>
    <row r="543" spans="1:29" ht="16" x14ac:dyDescent="0.2">
      <c r="A543" s="90" t="s">
        <v>0</v>
      </c>
      <c r="B543" s="90" t="s">
        <v>144</v>
      </c>
      <c r="C543" s="90" t="s">
        <v>623</v>
      </c>
      <c r="D543" s="91">
        <v>23423</v>
      </c>
      <c r="E543" s="90">
        <v>61</v>
      </c>
      <c r="F543" s="90" t="s">
        <v>10</v>
      </c>
      <c r="G543" s="90" t="s">
        <v>10</v>
      </c>
      <c r="H543" s="88"/>
      <c r="I543" s="88"/>
      <c r="J543" s="90" t="s">
        <v>401</v>
      </c>
      <c r="K543" s="90" t="s">
        <v>453</v>
      </c>
      <c r="L543" s="90" t="s">
        <v>7</v>
      </c>
      <c r="M543" s="90" t="s">
        <v>6</v>
      </c>
      <c r="N543" s="88"/>
      <c r="O543" s="91">
        <v>45608</v>
      </c>
      <c r="P543" s="91">
        <v>45609</v>
      </c>
      <c r="Q543" s="91">
        <v>45625</v>
      </c>
      <c r="R543" s="88"/>
      <c r="S543" s="88"/>
      <c r="T543" s="88"/>
      <c r="U543" s="90" t="s">
        <v>712</v>
      </c>
      <c r="V543" s="90" t="s">
        <v>224</v>
      </c>
      <c r="W543" s="90">
        <v>0</v>
      </c>
      <c r="X543" s="88"/>
      <c r="Y543" s="88"/>
      <c r="Z543" s="88"/>
      <c r="AA543" s="88"/>
      <c r="AB543" s="88"/>
      <c r="AC543" s="92">
        <v>45655.493750000001</v>
      </c>
    </row>
    <row r="544" spans="1:29" ht="16" x14ac:dyDescent="0.2">
      <c r="A544" s="90" t="s">
        <v>1</v>
      </c>
      <c r="B544" s="90" t="s">
        <v>617</v>
      </c>
      <c r="C544" s="90" t="s">
        <v>618</v>
      </c>
      <c r="D544" s="91">
        <v>30304</v>
      </c>
      <c r="E544" s="90">
        <v>43</v>
      </c>
      <c r="F544" s="90" t="s">
        <v>10</v>
      </c>
      <c r="G544" s="88"/>
      <c r="H544" s="90" t="s">
        <v>10</v>
      </c>
      <c r="I544" s="91">
        <v>44866</v>
      </c>
      <c r="J544" s="90" t="s">
        <v>212</v>
      </c>
      <c r="K544" s="90" t="s">
        <v>445</v>
      </c>
      <c r="L544" s="90" t="s">
        <v>3</v>
      </c>
      <c r="M544" s="90" t="s">
        <v>6</v>
      </c>
      <c r="N544" s="90" t="s">
        <v>119</v>
      </c>
      <c r="O544" s="91">
        <v>45608</v>
      </c>
      <c r="P544" s="91">
        <v>45608</v>
      </c>
      <c r="Q544" s="91">
        <v>45623</v>
      </c>
      <c r="R544" s="91">
        <v>45644</v>
      </c>
      <c r="S544" s="91">
        <v>45701</v>
      </c>
      <c r="T544" s="91">
        <v>45917</v>
      </c>
      <c r="U544" s="90" t="s">
        <v>60</v>
      </c>
      <c r="V544" s="90" t="s">
        <v>224</v>
      </c>
      <c r="W544" s="90">
        <v>2</v>
      </c>
      <c r="X544" s="90" t="s">
        <v>118</v>
      </c>
      <c r="Y544" s="91">
        <v>45689</v>
      </c>
      <c r="Z544" s="91">
        <v>45838</v>
      </c>
      <c r="AA544" s="88"/>
      <c r="AB544" s="88"/>
      <c r="AC544" s="92">
        <v>45947.448611111111</v>
      </c>
    </row>
    <row r="545" spans="1:29" ht="16" x14ac:dyDescent="0.2">
      <c r="A545" s="90" t="s">
        <v>0</v>
      </c>
      <c r="B545" s="90" t="s">
        <v>619</v>
      </c>
      <c r="C545" s="90" t="s">
        <v>620</v>
      </c>
      <c r="D545" s="91">
        <v>28084</v>
      </c>
      <c r="E545" s="90">
        <v>49</v>
      </c>
      <c r="F545" s="90" t="s">
        <v>11</v>
      </c>
      <c r="G545" s="88"/>
      <c r="H545" s="90" t="s">
        <v>10</v>
      </c>
      <c r="I545" s="91">
        <v>44896</v>
      </c>
      <c r="J545" s="90" t="s">
        <v>331</v>
      </c>
      <c r="K545" s="90" t="s">
        <v>332</v>
      </c>
      <c r="L545" s="90" t="s">
        <v>3</v>
      </c>
      <c r="M545" s="90" t="s">
        <v>6</v>
      </c>
      <c r="N545" s="90" t="s">
        <v>119</v>
      </c>
      <c r="O545" s="91">
        <v>45608</v>
      </c>
      <c r="P545" s="91">
        <v>45608</v>
      </c>
      <c r="Q545" s="91">
        <v>45611</v>
      </c>
      <c r="R545" s="91">
        <v>45617</v>
      </c>
      <c r="S545" s="91">
        <v>45630</v>
      </c>
      <c r="T545" s="91">
        <v>45894</v>
      </c>
      <c r="U545" s="90" t="s">
        <v>407</v>
      </c>
      <c r="V545" s="90" t="s">
        <v>224</v>
      </c>
      <c r="W545" s="90">
        <v>1</v>
      </c>
      <c r="X545" s="90" t="s">
        <v>118</v>
      </c>
      <c r="Y545" s="91">
        <v>45627</v>
      </c>
      <c r="Z545" s="91">
        <v>45777</v>
      </c>
      <c r="AA545" s="88"/>
      <c r="AB545" s="88"/>
      <c r="AC545" s="92">
        <v>45952.839583333334</v>
      </c>
    </row>
    <row r="546" spans="1:29" ht="16" x14ac:dyDescent="0.2">
      <c r="A546" s="90" t="s">
        <v>0</v>
      </c>
      <c r="B546" s="90" t="s">
        <v>621</v>
      </c>
      <c r="C546" s="90" t="s">
        <v>622</v>
      </c>
      <c r="D546" s="91">
        <v>25821</v>
      </c>
      <c r="E546" s="90">
        <v>55</v>
      </c>
      <c r="F546" s="90" t="s">
        <v>11</v>
      </c>
      <c r="G546" s="90" t="s">
        <v>11</v>
      </c>
      <c r="H546" s="90" t="s">
        <v>10</v>
      </c>
      <c r="I546" s="91">
        <v>40848</v>
      </c>
      <c r="J546" s="90" t="s">
        <v>110</v>
      </c>
      <c r="K546" s="90" t="s">
        <v>128</v>
      </c>
      <c r="L546" s="90" t="s">
        <v>7</v>
      </c>
      <c r="M546" s="90" t="s">
        <v>6</v>
      </c>
      <c r="N546" s="90" t="s">
        <v>117</v>
      </c>
      <c r="O546" s="91">
        <v>45608</v>
      </c>
      <c r="P546" s="91">
        <v>45611</v>
      </c>
      <c r="Q546" s="91">
        <v>45625</v>
      </c>
      <c r="R546" s="91">
        <v>45643</v>
      </c>
      <c r="S546" s="91">
        <v>45674</v>
      </c>
      <c r="T546" s="91">
        <v>45832</v>
      </c>
      <c r="U546" s="90" t="s">
        <v>218</v>
      </c>
      <c r="V546" s="90" t="s">
        <v>224</v>
      </c>
      <c r="W546" s="90">
        <v>2</v>
      </c>
      <c r="X546" s="90" t="s">
        <v>228</v>
      </c>
      <c r="Y546" s="91">
        <v>45658</v>
      </c>
      <c r="Z546" s="91">
        <v>45839</v>
      </c>
      <c r="AA546" s="88"/>
      <c r="AB546" s="88"/>
      <c r="AC546" s="92">
        <v>45952.837500000001</v>
      </c>
    </row>
    <row r="547" spans="1:29" ht="16" x14ac:dyDescent="0.2">
      <c r="A547" s="90" t="s">
        <v>1</v>
      </c>
      <c r="B547" s="90" t="s">
        <v>343</v>
      </c>
      <c r="C547" s="90" t="s">
        <v>615</v>
      </c>
      <c r="D547" s="91">
        <v>24272</v>
      </c>
      <c r="E547" s="90">
        <v>59</v>
      </c>
      <c r="F547" s="90" t="s">
        <v>11</v>
      </c>
      <c r="G547" s="88"/>
      <c r="H547" s="90" t="s">
        <v>10</v>
      </c>
      <c r="I547" s="88"/>
      <c r="J547" s="90" t="s">
        <v>493</v>
      </c>
      <c r="K547" s="90" t="s">
        <v>494</v>
      </c>
      <c r="L547" s="90" t="s">
        <v>3</v>
      </c>
      <c r="M547" s="90" t="s">
        <v>6</v>
      </c>
      <c r="N547" s="90" t="s">
        <v>176</v>
      </c>
      <c r="O547" s="91">
        <v>45604</v>
      </c>
      <c r="P547" s="91">
        <v>45604</v>
      </c>
      <c r="Q547" s="91">
        <v>45614</v>
      </c>
      <c r="R547" s="91">
        <v>45628</v>
      </c>
      <c r="S547" s="91">
        <v>45628</v>
      </c>
      <c r="T547" s="91">
        <v>45853</v>
      </c>
      <c r="U547" s="90" t="s">
        <v>1494</v>
      </c>
      <c r="V547" s="90" t="s">
        <v>224</v>
      </c>
      <c r="W547" s="90">
        <v>1</v>
      </c>
      <c r="X547" s="90" t="s">
        <v>118</v>
      </c>
      <c r="Y547" s="88"/>
      <c r="Z547" s="88"/>
      <c r="AA547" s="88"/>
      <c r="AB547" s="88"/>
      <c r="AC547" s="92">
        <v>45952.840277777781</v>
      </c>
    </row>
    <row r="548" spans="1:29" ht="16" x14ac:dyDescent="0.2">
      <c r="A548" s="90" t="s">
        <v>0</v>
      </c>
      <c r="B548" s="90" t="s">
        <v>109</v>
      </c>
      <c r="C548" s="90" t="s">
        <v>321</v>
      </c>
      <c r="D548" s="91">
        <v>25301</v>
      </c>
      <c r="E548" s="90">
        <v>56</v>
      </c>
      <c r="F548" s="90" t="s">
        <v>11</v>
      </c>
      <c r="G548" s="88"/>
      <c r="H548" s="90" t="s">
        <v>10</v>
      </c>
      <c r="I548" s="88"/>
      <c r="J548" s="90" t="s">
        <v>429</v>
      </c>
      <c r="K548" s="90" t="s">
        <v>616</v>
      </c>
      <c r="L548" s="90" t="s">
        <v>3</v>
      </c>
      <c r="M548" s="90" t="s">
        <v>6</v>
      </c>
      <c r="N548" s="90" t="s">
        <v>225</v>
      </c>
      <c r="O548" s="91">
        <v>45665</v>
      </c>
      <c r="P548" s="91">
        <v>45665</v>
      </c>
      <c r="Q548" s="91">
        <v>45705</v>
      </c>
      <c r="R548" s="91">
        <v>45729</v>
      </c>
      <c r="S548" s="91">
        <v>45735</v>
      </c>
      <c r="T548" s="91">
        <v>45735</v>
      </c>
      <c r="U548" s="90" t="s">
        <v>712</v>
      </c>
      <c r="V548" s="90" t="s">
        <v>224</v>
      </c>
      <c r="W548" s="90">
        <v>1</v>
      </c>
      <c r="X548" s="90" t="s">
        <v>118</v>
      </c>
      <c r="Y548" s="88"/>
      <c r="Z548" s="88"/>
      <c r="AA548" s="88"/>
      <c r="AB548" s="88"/>
      <c r="AC548" s="92">
        <v>45843.679861111108</v>
      </c>
    </row>
    <row r="549" spans="1:29" ht="16" x14ac:dyDescent="0.2">
      <c r="A549" s="90" t="s">
        <v>1</v>
      </c>
      <c r="B549" s="90" t="s">
        <v>163</v>
      </c>
      <c r="C549" s="90" t="s">
        <v>610</v>
      </c>
      <c r="D549" s="91">
        <v>24805</v>
      </c>
      <c r="E549" s="90">
        <v>58</v>
      </c>
      <c r="F549" s="90" t="s">
        <v>11</v>
      </c>
      <c r="G549" s="88"/>
      <c r="H549" s="90" t="s">
        <v>10</v>
      </c>
      <c r="I549" s="88"/>
      <c r="J549" s="90" t="s">
        <v>276</v>
      </c>
      <c r="K549" s="90" t="s">
        <v>277</v>
      </c>
      <c r="L549" s="90" t="s">
        <v>3</v>
      </c>
      <c r="M549" s="90" t="s">
        <v>6</v>
      </c>
      <c r="N549" s="90" t="s">
        <v>119</v>
      </c>
      <c r="O549" s="91">
        <v>45604</v>
      </c>
      <c r="P549" s="91">
        <v>45604</v>
      </c>
      <c r="Q549" s="91">
        <v>45609</v>
      </c>
      <c r="R549" s="91">
        <v>45616</v>
      </c>
      <c r="S549" s="91">
        <v>45616</v>
      </c>
      <c r="T549" s="91">
        <v>45868</v>
      </c>
      <c r="U549" s="90" t="s">
        <v>1114</v>
      </c>
      <c r="V549" s="90" t="s">
        <v>224</v>
      </c>
      <c r="W549" s="90">
        <v>1</v>
      </c>
      <c r="X549" s="90" t="s">
        <v>118</v>
      </c>
      <c r="Y549" s="91">
        <v>45597</v>
      </c>
      <c r="Z549" s="91">
        <v>45777</v>
      </c>
      <c r="AA549" s="88"/>
      <c r="AB549" s="88"/>
      <c r="AC549" s="92">
        <v>45874.48541666667</v>
      </c>
    </row>
    <row r="550" spans="1:29" ht="16" x14ac:dyDescent="0.2">
      <c r="A550" s="90" t="s">
        <v>1</v>
      </c>
      <c r="B550" s="90" t="s">
        <v>613</v>
      </c>
      <c r="C550" s="90" t="s">
        <v>614</v>
      </c>
      <c r="D550" s="91">
        <v>33184</v>
      </c>
      <c r="E550" s="90">
        <v>35</v>
      </c>
      <c r="F550" s="90" t="s">
        <v>11</v>
      </c>
      <c r="G550" s="88"/>
      <c r="H550" s="90" t="s">
        <v>10</v>
      </c>
      <c r="I550" s="88"/>
      <c r="J550" s="90" t="s">
        <v>114</v>
      </c>
      <c r="K550" s="90" t="s">
        <v>245</v>
      </c>
      <c r="L550" s="90" t="s">
        <v>3</v>
      </c>
      <c r="M550" s="90" t="s">
        <v>6</v>
      </c>
      <c r="N550" s="90" t="s">
        <v>120</v>
      </c>
      <c r="O550" s="91">
        <v>45604</v>
      </c>
      <c r="P550" s="91">
        <v>45604</v>
      </c>
      <c r="Q550" s="91">
        <v>45614</v>
      </c>
      <c r="R550" s="91">
        <v>45621</v>
      </c>
      <c r="S550" s="91">
        <v>45636</v>
      </c>
      <c r="T550" s="91">
        <v>45845</v>
      </c>
      <c r="U550" s="90" t="s">
        <v>319</v>
      </c>
      <c r="V550" s="90" t="s">
        <v>224</v>
      </c>
      <c r="W550" s="90">
        <v>2</v>
      </c>
      <c r="X550" s="90" t="s">
        <v>118</v>
      </c>
      <c r="Y550" s="91">
        <v>45627</v>
      </c>
      <c r="Z550" s="91">
        <v>45808</v>
      </c>
      <c r="AA550" s="88"/>
      <c r="AB550" s="88"/>
      <c r="AC550" s="92">
        <v>45845.597916666666</v>
      </c>
    </row>
    <row r="551" spans="1:29" ht="16" x14ac:dyDescent="0.2">
      <c r="A551" s="90" t="s">
        <v>1</v>
      </c>
      <c r="B551" s="90" t="s">
        <v>317</v>
      </c>
      <c r="C551" s="90" t="s">
        <v>303</v>
      </c>
      <c r="D551" s="91">
        <v>23916</v>
      </c>
      <c r="E551" s="90">
        <v>60</v>
      </c>
      <c r="F551" s="90" t="s">
        <v>11</v>
      </c>
      <c r="G551" s="88"/>
      <c r="H551" s="90" t="s">
        <v>10</v>
      </c>
      <c r="I551" s="88"/>
      <c r="J551" s="90" t="s">
        <v>331</v>
      </c>
      <c r="K551" s="90" t="s">
        <v>332</v>
      </c>
      <c r="L551" s="90" t="s">
        <v>3</v>
      </c>
      <c r="M551" s="90" t="s">
        <v>6</v>
      </c>
      <c r="N551" s="90" t="s">
        <v>117</v>
      </c>
      <c r="O551" s="91">
        <v>45604</v>
      </c>
      <c r="P551" s="91">
        <v>45604</v>
      </c>
      <c r="Q551" s="91">
        <v>45609</v>
      </c>
      <c r="R551" s="91">
        <v>45614</v>
      </c>
      <c r="S551" s="91">
        <v>45614</v>
      </c>
      <c r="T551" s="91">
        <v>45775</v>
      </c>
      <c r="U551" s="90" t="s">
        <v>67</v>
      </c>
      <c r="V551" s="90" t="s">
        <v>224</v>
      </c>
      <c r="W551" s="90">
        <v>2</v>
      </c>
      <c r="X551" s="90" t="s">
        <v>118</v>
      </c>
      <c r="Y551" s="91">
        <v>45597</v>
      </c>
      <c r="Z551" s="91">
        <v>45747</v>
      </c>
      <c r="AA551" s="88"/>
      <c r="AB551" s="88"/>
      <c r="AC551" s="92">
        <v>45796.439583333333</v>
      </c>
    </row>
    <row r="552" spans="1:29" ht="16" x14ac:dyDescent="0.2">
      <c r="A552" s="90" t="s">
        <v>1</v>
      </c>
      <c r="B552" s="90" t="s">
        <v>382</v>
      </c>
      <c r="C552" s="90" t="s">
        <v>609</v>
      </c>
      <c r="D552" s="91">
        <v>25247</v>
      </c>
      <c r="E552" s="90">
        <v>56</v>
      </c>
      <c r="F552" s="90" t="s">
        <v>11</v>
      </c>
      <c r="G552" s="88"/>
      <c r="H552" s="90" t="s">
        <v>10</v>
      </c>
      <c r="I552" s="88"/>
      <c r="J552" s="90" t="s">
        <v>192</v>
      </c>
      <c r="K552" s="90" t="s">
        <v>193</v>
      </c>
      <c r="L552" s="90" t="s">
        <v>3</v>
      </c>
      <c r="M552" s="90" t="s">
        <v>6</v>
      </c>
      <c r="N552" s="90" t="s">
        <v>119</v>
      </c>
      <c r="O552" s="91">
        <v>45604</v>
      </c>
      <c r="P552" s="91">
        <v>45604</v>
      </c>
      <c r="Q552" s="91">
        <v>45609</v>
      </c>
      <c r="R552" s="91">
        <v>45616</v>
      </c>
      <c r="S552" s="91">
        <v>45670</v>
      </c>
      <c r="T552" s="88"/>
      <c r="U552" s="88"/>
      <c r="V552" s="90" t="s">
        <v>32</v>
      </c>
      <c r="W552" s="90">
        <v>2</v>
      </c>
      <c r="X552" s="90" t="s">
        <v>118</v>
      </c>
      <c r="Y552" s="91">
        <v>45658</v>
      </c>
      <c r="Z552" s="91">
        <v>45839</v>
      </c>
      <c r="AA552" s="91">
        <v>45901</v>
      </c>
      <c r="AB552" s="91">
        <v>45991</v>
      </c>
      <c r="AC552" s="92">
        <v>45939.576388888891</v>
      </c>
    </row>
    <row r="553" spans="1:29" ht="16" x14ac:dyDescent="0.2">
      <c r="A553" s="90" t="s">
        <v>1</v>
      </c>
      <c r="B553" s="90" t="s">
        <v>515</v>
      </c>
      <c r="C553" s="90" t="s">
        <v>516</v>
      </c>
      <c r="D553" s="91">
        <v>31108</v>
      </c>
      <c r="E553" s="90">
        <v>40</v>
      </c>
      <c r="F553" s="90" t="s">
        <v>11</v>
      </c>
      <c r="G553" s="88"/>
      <c r="H553" s="90" t="s">
        <v>10</v>
      </c>
      <c r="I553" s="88"/>
      <c r="J553" s="90" t="s">
        <v>331</v>
      </c>
      <c r="K553" s="90" t="s">
        <v>332</v>
      </c>
      <c r="L553" s="90" t="s">
        <v>3</v>
      </c>
      <c r="M553" s="90" t="s">
        <v>6</v>
      </c>
      <c r="N553" s="90" t="s">
        <v>117</v>
      </c>
      <c r="O553" s="91">
        <v>45604</v>
      </c>
      <c r="P553" s="91">
        <v>45604</v>
      </c>
      <c r="Q553" s="91">
        <v>45609</v>
      </c>
      <c r="R553" s="91">
        <v>45614</v>
      </c>
      <c r="S553" s="91">
        <v>45614</v>
      </c>
      <c r="T553" s="91">
        <v>45777</v>
      </c>
      <c r="U553" s="90" t="s">
        <v>215</v>
      </c>
      <c r="V553" s="90" t="s">
        <v>224</v>
      </c>
      <c r="W553" s="90">
        <v>2</v>
      </c>
      <c r="X553" s="90" t="s">
        <v>118</v>
      </c>
      <c r="Y553" s="91">
        <v>45597</v>
      </c>
      <c r="Z553" s="91">
        <v>45747</v>
      </c>
      <c r="AA553" s="88"/>
      <c r="AB553" s="88"/>
      <c r="AC553" s="92">
        <v>45797.606944444444</v>
      </c>
    </row>
    <row r="554" spans="1:29" ht="16" x14ac:dyDescent="0.2">
      <c r="A554" s="90" t="s">
        <v>0</v>
      </c>
      <c r="B554" s="90" t="s">
        <v>109</v>
      </c>
      <c r="C554" s="90" t="s">
        <v>293</v>
      </c>
      <c r="D554" s="91">
        <v>27328</v>
      </c>
      <c r="E554" s="90">
        <v>51</v>
      </c>
      <c r="F554" s="90" t="s">
        <v>11</v>
      </c>
      <c r="G554" s="88"/>
      <c r="H554" s="90" t="s">
        <v>10</v>
      </c>
      <c r="I554" s="88"/>
      <c r="J554" s="90" t="s">
        <v>37</v>
      </c>
      <c r="K554" s="90" t="s">
        <v>36</v>
      </c>
      <c r="L554" s="90" t="s">
        <v>3</v>
      </c>
      <c r="M554" s="90" t="s">
        <v>6</v>
      </c>
      <c r="N554" s="90" t="s">
        <v>174</v>
      </c>
      <c r="O554" s="91">
        <v>45604</v>
      </c>
      <c r="P554" s="91">
        <v>45604</v>
      </c>
      <c r="Q554" s="91">
        <v>45609</v>
      </c>
      <c r="R554" s="91">
        <v>45614</v>
      </c>
      <c r="S554" s="91">
        <v>45628</v>
      </c>
      <c r="T554" s="91">
        <v>45838</v>
      </c>
      <c r="U554" s="90" t="s">
        <v>91</v>
      </c>
      <c r="V554" s="90" t="s">
        <v>224</v>
      </c>
      <c r="W554" s="90">
        <v>2</v>
      </c>
      <c r="X554" s="90" t="s">
        <v>118</v>
      </c>
      <c r="Y554" s="91">
        <v>45628</v>
      </c>
      <c r="Z554" s="91">
        <v>45777</v>
      </c>
      <c r="AA554" s="88"/>
      <c r="AB554" s="88"/>
      <c r="AC554" s="92">
        <v>45846.431944444441</v>
      </c>
    </row>
    <row r="555" spans="1:29" ht="16" x14ac:dyDescent="0.2">
      <c r="A555" s="90" t="s">
        <v>1</v>
      </c>
      <c r="B555" s="90" t="s">
        <v>611</v>
      </c>
      <c r="C555" s="90" t="s">
        <v>612</v>
      </c>
      <c r="D555" s="91">
        <v>23751</v>
      </c>
      <c r="E555" s="90">
        <v>60</v>
      </c>
      <c r="F555" s="90" t="s">
        <v>11</v>
      </c>
      <c r="G555" s="90" t="s">
        <v>10</v>
      </c>
      <c r="H555" s="90" t="s">
        <v>10</v>
      </c>
      <c r="I555" s="91">
        <v>45536</v>
      </c>
      <c r="J555" s="90" t="s">
        <v>541</v>
      </c>
      <c r="K555" s="90" t="s">
        <v>542</v>
      </c>
      <c r="L555" s="90" t="s">
        <v>7</v>
      </c>
      <c r="M555" s="90" t="s">
        <v>6</v>
      </c>
      <c r="N555" s="90" t="s">
        <v>120</v>
      </c>
      <c r="O555" s="91">
        <v>45604</v>
      </c>
      <c r="P555" s="91">
        <v>45611</v>
      </c>
      <c r="Q555" s="91">
        <v>45624</v>
      </c>
      <c r="R555" s="91">
        <v>45629</v>
      </c>
      <c r="S555" s="91">
        <v>45692</v>
      </c>
      <c r="T555" s="91">
        <v>45890</v>
      </c>
      <c r="U555" s="90" t="s">
        <v>320</v>
      </c>
      <c r="V555" s="90" t="s">
        <v>224</v>
      </c>
      <c r="W555" s="90">
        <v>6</v>
      </c>
      <c r="X555" s="90" t="s">
        <v>228</v>
      </c>
      <c r="Y555" s="91">
        <v>45689</v>
      </c>
      <c r="Z555" s="91">
        <v>45869</v>
      </c>
      <c r="AA555" s="88"/>
      <c r="AB555" s="88"/>
      <c r="AC555" s="92">
        <v>45890.422222222223</v>
      </c>
    </row>
    <row r="556" spans="1:29" ht="16" x14ac:dyDescent="0.2">
      <c r="A556" s="90" t="s">
        <v>0</v>
      </c>
      <c r="B556" s="90" t="s">
        <v>602</v>
      </c>
      <c r="C556" s="90" t="s">
        <v>190</v>
      </c>
      <c r="D556" s="91">
        <v>33125</v>
      </c>
      <c r="E556" s="90">
        <v>35</v>
      </c>
      <c r="F556" s="90" t="s">
        <v>11</v>
      </c>
      <c r="G556" s="88"/>
      <c r="H556" s="90" t="s">
        <v>10</v>
      </c>
      <c r="I556" s="88"/>
      <c r="J556" s="90" t="s">
        <v>114</v>
      </c>
      <c r="K556" s="90" t="s">
        <v>245</v>
      </c>
      <c r="L556" s="90" t="s">
        <v>3</v>
      </c>
      <c r="M556" s="90" t="s">
        <v>6</v>
      </c>
      <c r="N556" s="90" t="s">
        <v>176</v>
      </c>
      <c r="O556" s="91">
        <v>45603</v>
      </c>
      <c r="P556" s="91">
        <v>45645</v>
      </c>
      <c r="Q556" s="91">
        <v>45618</v>
      </c>
      <c r="R556" s="91">
        <v>45638</v>
      </c>
      <c r="S556" s="91">
        <v>45670</v>
      </c>
      <c r="T556" s="91">
        <v>45854</v>
      </c>
      <c r="U556" s="90" t="s">
        <v>319</v>
      </c>
      <c r="V556" s="90" t="s">
        <v>224</v>
      </c>
      <c r="W556" s="90">
        <v>1</v>
      </c>
      <c r="X556" s="90" t="s">
        <v>118</v>
      </c>
      <c r="Y556" s="91">
        <v>45658</v>
      </c>
      <c r="Z556" s="91">
        <v>45839</v>
      </c>
      <c r="AA556" s="88"/>
      <c r="AB556" s="88"/>
      <c r="AC556" s="92">
        <v>45874.412499999999</v>
      </c>
    </row>
    <row r="557" spans="1:29" ht="16" x14ac:dyDescent="0.2">
      <c r="A557" s="90" t="s">
        <v>0</v>
      </c>
      <c r="B557" s="90" t="s">
        <v>603</v>
      </c>
      <c r="C557" s="90" t="s">
        <v>604</v>
      </c>
      <c r="D557" s="91">
        <v>30581</v>
      </c>
      <c r="E557" s="90">
        <v>42</v>
      </c>
      <c r="F557" s="90" t="s">
        <v>11</v>
      </c>
      <c r="G557" s="88"/>
      <c r="H557" s="90" t="s">
        <v>10</v>
      </c>
      <c r="I557" s="88"/>
      <c r="J557" s="90" t="s">
        <v>134</v>
      </c>
      <c r="K557" s="90" t="s">
        <v>135</v>
      </c>
      <c r="L557" s="90" t="s">
        <v>3</v>
      </c>
      <c r="M557" s="90" t="s">
        <v>6</v>
      </c>
      <c r="N557" s="90" t="s">
        <v>119</v>
      </c>
      <c r="O557" s="91">
        <v>45603</v>
      </c>
      <c r="P557" s="91">
        <v>45603</v>
      </c>
      <c r="Q557" s="91">
        <v>45586</v>
      </c>
      <c r="R557" s="91">
        <v>45609</v>
      </c>
      <c r="S557" s="91">
        <v>45586</v>
      </c>
      <c r="T557" s="91">
        <v>45800</v>
      </c>
      <c r="U557" s="90" t="s">
        <v>319</v>
      </c>
      <c r="V557" s="90" t="s">
        <v>224</v>
      </c>
      <c r="W557" s="90">
        <v>2</v>
      </c>
      <c r="X557" s="90" t="s">
        <v>118</v>
      </c>
      <c r="Y557" s="88"/>
      <c r="Z557" s="88"/>
      <c r="AA557" s="88"/>
      <c r="AB557" s="88"/>
      <c r="AC557" s="92">
        <v>45835.461805555555</v>
      </c>
    </row>
    <row r="558" spans="1:29" ht="16" x14ac:dyDescent="0.2">
      <c r="A558" s="90" t="s">
        <v>0</v>
      </c>
      <c r="B558" s="90" t="s">
        <v>411</v>
      </c>
      <c r="C558" s="90" t="s">
        <v>501</v>
      </c>
      <c r="D558" s="91">
        <v>27206</v>
      </c>
      <c r="E558" s="90">
        <v>51</v>
      </c>
      <c r="F558" s="90" t="s">
        <v>11</v>
      </c>
      <c r="G558" s="88"/>
      <c r="H558" s="90" t="s">
        <v>10</v>
      </c>
      <c r="I558" s="88"/>
      <c r="J558" s="90" t="s">
        <v>337</v>
      </c>
      <c r="K558" s="90" t="s">
        <v>608</v>
      </c>
      <c r="L558" s="90" t="s">
        <v>3</v>
      </c>
      <c r="M558" s="90" t="s">
        <v>6</v>
      </c>
      <c r="N558" s="90" t="s">
        <v>120</v>
      </c>
      <c r="O558" s="91">
        <v>45603</v>
      </c>
      <c r="P558" s="91">
        <v>45603</v>
      </c>
      <c r="Q558" s="91">
        <v>45604</v>
      </c>
      <c r="R558" s="91">
        <v>45609</v>
      </c>
      <c r="S558" s="91">
        <v>45628</v>
      </c>
      <c r="T558" s="91">
        <v>45747</v>
      </c>
      <c r="U558" s="90" t="s">
        <v>407</v>
      </c>
      <c r="V558" s="90" t="s">
        <v>224</v>
      </c>
      <c r="W558" s="90">
        <v>2</v>
      </c>
      <c r="X558" s="90" t="s">
        <v>118</v>
      </c>
      <c r="Y558" s="88"/>
      <c r="Z558" s="88"/>
      <c r="AA558" s="88"/>
      <c r="AB558" s="88"/>
      <c r="AC558" s="92">
        <v>45747.454861111109</v>
      </c>
    </row>
    <row r="559" spans="1:29" ht="16" x14ac:dyDescent="0.2">
      <c r="A559" s="90" t="s">
        <v>0</v>
      </c>
      <c r="B559" s="90" t="s">
        <v>259</v>
      </c>
      <c r="C559" s="90" t="s">
        <v>605</v>
      </c>
      <c r="D559" s="91">
        <v>27506</v>
      </c>
      <c r="E559" s="90">
        <v>50</v>
      </c>
      <c r="F559" s="90" t="s">
        <v>11</v>
      </c>
      <c r="G559" s="88"/>
      <c r="H559" s="90" t="s">
        <v>10</v>
      </c>
      <c r="I559" s="88"/>
      <c r="J559" s="90" t="s">
        <v>161</v>
      </c>
      <c r="K559" s="90" t="s">
        <v>606</v>
      </c>
      <c r="L559" s="90" t="s">
        <v>3</v>
      </c>
      <c r="M559" s="90" t="s">
        <v>6</v>
      </c>
      <c r="N559" s="90" t="s">
        <v>119</v>
      </c>
      <c r="O559" s="91">
        <v>45603</v>
      </c>
      <c r="P559" s="91">
        <v>45950</v>
      </c>
      <c r="Q559" s="91">
        <v>45609</v>
      </c>
      <c r="R559" s="91">
        <v>45614</v>
      </c>
      <c r="S559" s="91">
        <v>45623</v>
      </c>
      <c r="T559" s="88"/>
      <c r="U559" s="90" t="s">
        <v>320</v>
      </c>
      <c r="V559" s="90" t="s">
        <v>32</v>
      </c>
      <c r="W559" s="90">
        <v>2</v>
      </c>
      <c r="X559" s="90" t="s">
        <v>118</v>
      </c>
      <c r="Y559" s="91">
        <v>45717</v>
      </c>
      <c r="Z559" s="91">
        <v>45808</v>
      </c>
      <c r="AA559" s="91">
        <v>45931</v>
      </c>
      <c r="AB559" s="91">
        <v>45991</v>
      </c>
      <c r="AC559" s="92">
        <v>45950.606249999997</v>
      </c>
    </row>
    <row r="560" spans="1:29" ht="16" x14ac:dyDescent="0.2">
      <c r="A560" s="90" t="s">
        <v>1</v>
      </c>
      <c r="B560" s="90" t="s">
        <v>2</v>
      </c>
      <c r="C560" s="90" t="s">
        <v>559</v>
      </c>
      <c r="D560" s="91">
        <v>25089</v>
      </c>
      <c r="E560" s="90">
        <v>57</v>
      </c>
      <c r="F560" s="90" t="s">
        <v>11</v>
      </c>
      <c r="G560" s="88"/>
      <c r="H560" s="90" t="s">
        <v>10</v>
      </c>
      <c r="I560" s="88"/>
      <c r="J560" s="90" t="s">
        <v>331</v>
      </c>
      <c r="K560" s="90" t="s">
        <v>332</v>
      </c>
      <c r="L560" s="90" t="s">
        <v>3</v>
      </c>
      <c r="M560" s="90" t="s">
        <v>6</v>
      </c>
      <c r="N560" s="90" t="s">
        <v>117</v>
      </c>
      <c r="O560" s="91">
        <v>45603</v>
      </c>
      <c r="P560" s="91">
        <v>45603</v>
      </c>
      <c r="Q560" s="91">
        <v>45587</v>
      </c>
      <c r="R560" s="91">
        <v>45609</v>
      </c>
      <c r="S560" s="91">
        <v>45581</v>
      </c>
      <c r="T560" s="91">
        <v>45693</v>
      </c>
      <c r="U560" s="90" t="s">
        <v>92</v>
      </c>
      <c r="V560" s="90" t="s">
        <v>224</v>
      </c>
      <c r="W560" s="90">
        <v>1</v>
      </c>
      <c r="X560" s="90" t="s">
        <v>118</v>
      </c>
      <c r="Y560" s="91">
        <v>45627</v>
      </c>
      <c r="Z560" s="91">
        <v>45809</v>
      </c>
      <c r="AA560" s="88"/>
      <c r="AB560" s="88"/>
      <c r="AC560" s="92">
        <v>45721.588194444441</v>
      </c>
    </row>
    <row r="561" spans="1:29" ht="16" x14ac:dyDescent="0.2">
      <c r="A561" s="90" t="s">
        <v>1</v>
      </c>
      <c r="B561" s="90" t="s">
        <v>122</v>
      </c>
      <c r="C561" s="90" t="s">
        <v>150</v>
      </c>
      <c r="D561" s="91">
        <v>28272</v>
      </c>
      <c r="E561" s="90">
        <v>48</v>
      </c>
      <c r="F561" s="90" t="s">
        <v>11</v>
      </c>
      <c r="G561" s="88"/>
      <c r="H561" s="90" t="s">
        <v>10</v>
      </c>
      <c r="I561" s="88"/>
      <c r="J561" s="90" t="s">
        <v>311</v>
      </c>
      <c r="K561" s="90" t="s">
        <v>312</v>
      </c>
      <c r="L561" s="90" t="s">
        <v>3</v>
      </c>
      <c r="M561" s="90" t="s">
        <v>6</v>
      </c>
      <c r="N561" s="90" t="s">
        <v>119</v>
      </c>
      <c r="O561" s="91">
        <v>45603</v>
      </c>
      <c r="P561" s="91">
        <v>45603</v>
      </c>
      <c r="Q561" s="91">
        <v>45618</v>
      </c>
      <c r="R561" s="91">
        <v>45636</v>
      </c>
      <c r="S561" s="91">
        <v>45649</v>
      </c>
      <c r="T561" s="88"/>
      <c r="U561" s="90" t="s">
        <v>60</v>
      </c>
      <c r="V561" s="90" t="s">
        <v>224</v>
      </c>
      <c r="W561" s="90">
        <v>1</v>
      </c>
      <c r="X561" s="90" t="s">
        <v>118</v>
      </c>
      <c r="Y561" s="91">
        <v>45627</v>
      </c>
      <c r="Z561" s="91">
        <v>45808</v>
      </c>
      <c r="AA561" s="88"/>
      <c r="AB561" s="88"/>
      <c r="AC561" s="92">
        <v>45921.620833333334</v>
      </c>
    </row>
    <row r="562" spans="1:29" ht="16" x14ac:dyDescent="0.2">
      <c r="A562" s="90" t="s">
        <v>0</v>
      </c>
      <c r="B562" s="90" t="s">
        <v>258</v>
      </c>
      <c r="C562" s="90" t="s">
        <v>575</v>
      </c>
      <c r="D562" s="91">
        <v>25205</v>
      </c>
      <c r="E562" s="90">
        <v>56</v>
      </c>
      <c r="F562" s="90" t="s">
        <v>11</v>
      </c>
      <c r="G562" s="88"/>
      <c r="H562" s="90" t="s">
        <v>10</v>
      </c>
      <c r="I562" s="88"/>
      <c r="J562" s="90" t="s">
        <v>331</v>
      </c>
      <c r="K562" s="90" t="s">
        <v>332</v>
      </c>
      <c r="L562" s="90" t="s">
        <v>3</v>
      </c>
      <c r="M562" s="90" t="s">
        <v>6</v>
      </c>
      <c r="N562" s="90" t="s">
        <v>119</v>
      </c>
      <c r="O562" s="91">
        <v>45603</v>
      </c>
      <c r="P562" s="91">
        <v>45603</v>
      </c>
      <c r="Q562" s="91">
        <v>45586</v>
      </c>
      <c r="R562" s="91">
        <v>45600</v>
      </c>
      <c r="S562" s="91">
        <v>45586</v>
      </c>
      <c r="T562" s="91">
        <v>45840</v>
      </c>
      <c r="U562" s="90" t="s">
        <v>319</v>
      </c>
      <c r="V562" s="90" t="s">
        <v>224</v>
      </c>
      <c r="W562" s="90">
        <v>2</v>
      </c>
      <c r="X562" s="90" t="s">
        <v>118</v>
      </c>
      <c r="Y562" s="91">
        <v>45566</v>
      </c>
      <c r="Z562" s="91">
        <v>45747</v>
      </c>
      <c r="AA562" s="88"/>
      <c r="AB562" s="88"/>
      <c r="AC562" s="92">
        <v>45957.601388888892</v>
      </c>
    </row>
    <row r="563" spans="1:29" ht="16" x14ac:dyDescent="0.2">
      <c r="A563" s="90" t="s">
        <v>0</v>
      </c>
      <c r="B563" s="90" t="s">
        <v>388</v>
      </c>
      <c r="C563" s="90" t="s">
        <v>607</v>
      </c>
      <c r="D563" s="91">
        <v>35020</v>
      </c>
      <c r="E563" s="90">
        <v>30</v>
      </c>
      <c r="F563" s="90" t="s">
        <v>11</v>
      </c>
      <c r="G563" s="88"/>
      <c r="H563" s="90" t="s">
        <v>10</v>
      </c>
      <c r="I563" s="88"/>
      <c r="J563" s="90" t="s">
        <v>331</v>
      </c>
      <c r="K563" s="90" t="s">
        <v>332</v>
      </c>
      <c r="L563" s="90" t="s">
        <v>3</v>
      </c>
      <c r="M563" s="90" t="s">
        <v>6</v>
      </c>
      <c r="N563" s="90" t="s">
        <v>119</v>
      </c>
      <c r="O563" s="91">
        <v>45603</v>
      </c>
      <c r="P563" s="91">
        <v>45636</v>
      </c>
      <c r="Q563" s="91">
        <v>45614</v>
      </c>
      <c r="R563" s="91">
        <v>45636</v>
      </c>
      <c r="S563" s="91">
        <v>45663</v>
      </c>
      <c r="T563" s="91">
        <v>45726</v>
      </c>
      <c r="U563" s="90" t="s">
        <v>60</v>
      </c>
      <c r="V563" s="90" t="s">
        <v>224</v>
      </c>
      <c r="W563" s="90">
        <v>1</v>
      </c>
      <c r="X563" s="90" t="s">
        <v>118</v>
      </c>
      <c r="Y563" s="91">
        <v>45658</v>
      </c>
      <c r="Z563" s="91">
        <v>45839</v>
      </c>
      <c r="AA563" s="88"/>
      <c r="AB563" s="88"/>
      <c r="AC563" s="92">
        <v>45921.613888888889</v>
      </c>
    </row>
    <row r="564" spans="1:29" ht="16" x14ac:dyDescent="0.2">
      <c r="A564" s="90" t="s">
        <v>1</v>
      </c>
      <c r="B564" s="90" t="s">
        <v>596</v>
      </c>
      <c r="C564" s="90" t="s">
        <v>597</v>
      </c>
      <c r="D564" s="91">
        <v>35773</v>
      </c>
      <c r="E564" s="90">
        <v>28</v>
      </c>
      <c r="F564" s="90" t="s">
        <v>11</v>
      </c>
      <c r="G564" s="90" t="s">
        <v>10</v>
      </c>
      <c r="H564" s="90" t="s">
        <v>10</v>
      </c>
      <c r="I564" s="91">
        <v>44896</v>
      </c>
      <c r="J564" s="90" t="s">
        <v>598</v>
      </c>
      <c r="K564" s="90" t="s">
        <v>599</v>
      </c>
      <c r="L564" s="90" t="s">
        <v>3</v>
      </c>
      <c r="M564" s="90" t="s">
        <v>396</v>
      </c>
      <c r="N564" s="88"/>
      <c r="O564" s="91">
        <v>45602</v>
      </c>
      <c r="P564" s="91">
        <v>45603</v>
      </c>
      <c r="Q564" s="91">
        <v>45609</v>
      </c>
      <c r="R564" s="91">
        <v>45616</v>
      </c>
      <c r="S564" s="91">
        <v>45665</v>
      </c>
      <c r="T564" s="91">
        <v>45665</v>
      </c>
      <c r="U564" s="90" t="s">
        <v>712</v>
      </c>
      <c r="V564" s="90" t="s">
        <v>224</v>
      </c>
      <c r="W564" s="90">
        <v>3</v>
      </c>
      <c r="X564" s="90" t="s">
        <v>118</v>
      </c>
      <c r="Y564" s="88"/>
      <c r="Z564" s="88"/>
      <c r="AA564" s="88"/>
      <c r="AB564" s="88"/>
      <c r="AC564" s="92">
        <v>45720.518750000003</v>
      </c>
    </row>
    <row r="565" spans="1:29" ht="16" x14ac:dyDescent="0.2">
      <c r="A565" s="90" t="s">
        <v>0</v>
      </c>
      <c r="B565" s="90" t="s">
        <v>322</v>
      </c>
      <c r="C565" s="90" t="s">
        <v>600</v>
      </c>
      <c r="D565" s="91">
        <v>29535</v>
      </c>
      <c r="E565" s="90">
        <v>45</v>
      </c>
      <c r="F565" s="90" t="s">
        <v>11</v>
      </c>
      <c r="G565" s="90" t="s">
        <v>11</v>
      </c>
      <c r="H565" s="90" t="s">
        <v>10</v>
      </c>
      <c r="I565" s="88"/>
      <c r="J565" s="90" t="s">
        <v>598</v>
      </c>
      <c r="K565" s="90" t="s">
        <v>599</v>
      </c>
      <c r="L565" s="90" t="s">
        <v>3</v>
      </c>
      <c r="M565" s="90" t="s">
        <v>396</v>
      </c>
      <c r="N565" s="90" t="s">
        <v>117</v>
      </c>
      <c r="O565" s="91">
        <v>45602</v>
      </c>
      <c r="P565" s="91">
        <v>45603</v>
      </c>
      <c r="Q565" s="91">
        <v>45604</v>
      </c>
      <c r="R565" s="91">
        <v>45614</v>
      </c>
      <c r="S565" s="91">
        <v>45614</v>
      </c>
      <c r="T565" s="91">
        <v>45776</v>
      </c>
      <c r="U565" s="90" t="s">
        <v>220</v>
      </c>
      <c r="V565" s="90" t="s">
        <v>224</v>
      </c>
      <c r="W565" s="90">
        <v>1</v>
      </c>
      <c r="X565" s="90" t="s">
        <v>118</v>
      </c>
      <c r="Y565" s="91">
        <v>45597</v>
      </c>
      <c r="Z565" s="91">
        <v>45777</v>
      </c>
      <c r="AA565" s="88"/>
      <c r="AB565" s="88"/>
      <c r="AC565" s="92">
        <v>45789.681944444441</v>
      </c>
    </row>
    <row r="566" spans="1:29" ht="16" x14ac:dyDescent="0.2">
      <c r="A566" s="90" t="s">
        <v>0</v>
      </c>
      <c r="B566" s="90" t="s">
        <v>360</v>
      </c>
      <c r="C566" s="90" t="s">
        <v>601</v>
      </c>
      <c r="D566" s="91">
        <v>31498</v>
      </c>
      <c r="E566" s="90">
        <v>39</v>
      </c>
      <c r="F566" s="90" t="s">
        <v>11</v>
      </c>
      <c r="G566" s="90" t="s">
        <v>11</v>
      </c>
      <c r="H566" s="90" t="s">
        <v>10</v>
      </c>
      <c r="I566" s="91">
        <v>45108</v>
      </c>
      <c r="J566" s="90" t="s">
        <v>598</v>
      </c>
      <c r="K566" s="90" t="s">
        <v>599</v>
      </c>
      <c r="L566" s="90" t="s">
        <v>3</v>
      </c>
      <c r="M566" s="90" t="s">
        <v>396</v>
      </c>
      <c r="N566" s="90" t="s">
        <v>119</v>
      </c>
      <c r="O566" s="91">
        <v>45602</v>
      </c>
      <c r="P566" s="91">
        <v>45603</v>
      </c>
      <c r="Q566" s="91">
        <v>45604</v>
      </c>
      <c r="R566" s="91">
        <v>45616</v>
      </c>
      <c r="S566" s="91">
        <v>45628</v>
      </c>
      <c r="T566" s="91">
        <v>45838</v>
      </c>
      <c r="U566" s="90" t="s">
        <v>320</v>
      </c>
      <c r="V566" s="90" t="s">
        <v>224</v>
      </c>
      <c r="W566" s="90">
        <v>2</v>
      </c>
      <c r="X566" s="90" t="s">
        <v>118</v>
      </c>
      <c r="Y566" s="91">
        <v>45627</v>
      </c>
      <c r="Z566" s="91">
        <v>45809</v>
      </c>
      <c r="AA566" s="88"/>
      <c r="AB566" s="88"/>
      <c r="AC566" s="92">
        <v>45874.537499999999</v>
      </c>
    </row>
    <row r="567" spans="1:29" ht="16" x14ac:dyDescent="0.2">
      <c r="A567" s="90" t="s">
        <v>1</v>
      </c>
      <c r="B567" s="90" t="s">
        <v>240</v>
      </c>
      <c r="C567" s="90" t="s">
        <v>594</v>
      </c>
      <c r="D567" s="91">
        <v>31713</v>
      </c>
      <c r="E567" s="90">
        <v>39</v>
      </c>
      <c r="F567" s="90" t="s">
        <v>11</v>
      </c>
      <c r="G567" s="90" t="s">
        <v>10</v>
      </c>
      <c r="H567" s="90" t="s">
        <v>10</v>
      </c>
      <c r="I567" s="88"/>
      <c r="J567" s="90" t="s">
        <v>595</v>
      </c>
      <c r="K567" s="90" t="s">
        <v>270</v>
      </c>
      <c r="L567" s="90" t="s">
        <v>4</v>
      </c>
      <c r="M567" s="90" t="s">
        <v>6</v>
      </c>
      <c r="N567" s="90" t="s">
        <v>119</v>
      </c>
      <c r="O567" s="91">
        <v>45600</v>
      </c>
      <c r="P567" s="91">
        <v>45601</v>
      </c>
      <c r="Q567" s="91">
        <v>45602</v>
      </c>
      <c r="R567" s="91">
        <v>45617</v>
      </c>
      <c r="S567" s="91">
        <v>45617</v>
      </c>
      <c r="T567" s="91">
        <v>45910</v>
      </c>
      <c r="U567" s="90" t="s">
        <v>98</v>
      </c>
      <c r="V567" s="90" t="s">
        <v>224</v>
      </c>
      <c r="W567" s="90">
        <v>6</v>
      </c>
      <c r="X567" s="90" t="s">
        <v>125</v>
      </c>
      <c r="Y567" s="91">
        <v>45597</v>
      </c>
      <c r="Z567" s="91">
        <v>45778</v>
      </c>
      <c r="AA567" s="91">
        <v>45809</v>
      </c>
      <c r="AB567" s="91">
        <v>45899</v>
      </c>
      <c r="AC567" s="92">
        <v>45910.605555555558</v>
      </c>
    </row>
    <row r="568" spans="1:29" ht="16" x14ac:dyDescent="0.2">
      <c r="A568" s="90" t="s">
        <v>0</v>
      </c>
      <c r="B568" s="90" t="s">
        <v>590</v>
      </c>
      <c r="C568" s="90" t="s">
        <v>591</v>
      </c>
      <c r="D568" s="91">
        <v>31902</v>
      </c>
      <c r="E568" s="90">
        <v>38</v>
      </c>
      <c r="F568" s="90" t="s">
        <v>11</v>
      </c>
      <c r="G568" s="90" t="s">
        <v>10</v>
      </c>
      <c r="H568" s="88"/>
      <c r="I568" s="91">
        <v>43374</v>
      </c>
      <c r="J568" s="90" t="s">
        <v>126</v>
      </c>
      <c r="K568" s="90" t="s">
        <v>127</v>
      </c>
      <c r="L568" s="90" t="s">
        <v>7</v>
      </c>
      <c r="M568" s="90" t="s">
        <v>6</v>
      </c>
      <c r="N568" s="90" t="s">
        <v>117</v>
      </c>
      <c r="O568" s="91">
        <v>45596</v>
      </c>
      <c r="P568" s="91">
        <v>45611</v>
      </c>
      <c r="Q568" s="91">
        <v>45614</v>
      </c>
      <c r="R568" s="91">
        <v>45614</v>
      </c>
      <c r="S568" s="91">
        <v>45677</v>
      </c>
      <c r="T568" s="91">
        <v>45832</v>
      </c>
      <c r="U568" s="90" t="s">
        <v>98</v>
      </c>
      <c r="V568" s="90" t="s">
        <v>224</v>
      </c>
      <c r="W568" s="90">
        <v>4</v>
      </c>
      <c r="X568" s="90" t="s">
        <v>228</v>
      </c>
      <c r="Y568" s="91">
        <v>45658</v>
      </c>
      <c r="Z568" s="91">
        <v>45839</v>
      </c>
      <c r="AA568" s="88"/>
      <c r="AB568" s="88"/>
      <c r="AC568" s="92">
        <v>45952.837500000001</v>
      </c>
    </row>
    <row r="569" spans="1:29" ht="16" x14ac:dyDescent="0.2">
      <c r="A569" s="90" t="s">
        <v>1</v>
      </c>
      <c r="B569" s="90" t="s">
        <v>592</v>
      </c>
      <c r="C569" s="90" t="s">
        <v>593</v>
      </c>
      <c r="D569" s="91">
        <v>28321</v>
      </c>
      <c r="E569" s="90">
        <v>48</v>
      </c>
      <c r="F569" s="90" t="s">
        <v>10</v>
      </c>
      <c r="G569" s="90" t="s">
        <v>10</v>
      </c>
      <c r="H569" s="90" t="s">
        <v>10</v>
      </c>
      <c r="I569" s="91">
        <v>44470</v>
      </c>
      <c r="J569" s="90" t="s">
        <v>250</v>
      </c>
      <c r="K569" s="90" t="s">
        <v>251</v>
      </c>
      <c r="L569" s="90" t="s">
        <v>5</v>
      </c>
      <c r="M569" s="90" t="s">
        <v>6</v>
      </c>
      <c r="N569" s="90" t="s">
        <v>119</v>
      </c>
      <c r="O569" s="91">
        <v>45596</v>
      </c>
      <c r="P569" s="91">
        <v>45683</v>
      </c>
      <c r="Q569" s="91">
        <v>45601</v>
      </c>
      <c r="R569" s="91">
        <v>45616</v>
      </c>
      <c r="S569" s="91">
        <v>45623</v>
      </c>
      <c r="T569" s="91">
        <v>45678</v>
      </c>
      <c r="U569" s="90" t="s">
        <v>330</v>
      </c>
      <c r="V569" s="90" t="s">
        <v>224</v>
      </c>
      <c r="W569" s="90">
        <v>2</v>
      </c>
      <c r="X569" s="90" t="s">
        <v>125</v>
      </c>
      <c r="Y569" s="91">
        <v>45597</v>
      </c>
      <c r="Z569" s="91">
        <v>45777</v>
      </c>
      <c r="AA569" s="88"/>
      <c r="AB569" s="88"/>
      <c r="AC569" s="92">
        <v>45690.383333333331</v>
      </c>
    </row>
    <row r="570" spans="1:29" ht="16" x14ac:dyDescent="0.2">
      <c r="A570" s="90" t="s">
        <v>0</v>
      </c>
      <c r="B570" s="90" t="s">
        <v>483</v>
      </c>
      <c r="C570" s="90" t="s">
        <v>201</v>
      </c>
      <c r="D570" s="91">
        <v>38475</v>
      </c>
      <c r="E570" s="90">
        <v>20</v>
      </c>
      <c r="F570" s="90" t="s">
        <v>11</v>
      </c>
      <c r="G570" s="90" t="s">
        <v>11</v>
      </c>
      <c r="H570" s="90" t="s">
        <v>11</v>
      </c>
      <c r="I570" s="88"/>
      <c r="J570" s="90" t="s">
        <v>539</v>
      </c>
      <c r="K570" s="90" t="s">
        <v>391</v>
      </c>
      <c r="L570" s="90" t="s">
        <v>7</v>
      </c>
      <c r="M570" s="90" t="s">
        <v>9</v>
      </c>
      <c r="N570" s="90" t="s">
        <v>120</v>
      </c>
      <c r="O570" s="91">
        <v>45596</v>
      </c>
      <c r="P570" s="91">
        <v>45596</v>
      </c>
      <c r="Q570" s="91">
        <v>45630</v>
      </c>
      <c r="R570" s="91">
        <v>45643</v>
      </c>
      <c r="S570" s="91">
        <v>45643</v>
      </c>
      <c r="T570" s="91">
        <v>45746</v>
      </c>
      <c r="U570" s="90" t="s">
        <v>60</v>
      </c>
      <c r="V570" s="90" t="s">
        <v>224</v>
      </c>
      <c r="W570" s="90">
        <v>1</v>
      </c>
      <c r="X570" s="90" t="s">
        <v>708</v>
      </c>
      <c r="Y570" s="88"/>
      <c r="Z570" s="88"/>
      <c r="AA570" s="88"/>
      <c r="AB570" s="88"/>
      <c r="AC570" s="92">
        <v>45952.864583333336</v>
      </c>
    </row>
    <row r="571" spans="1:29" ht="16" x14ac:dyDescent="0.2">
      <c r="A571" s="90" t="s">
        <v>0</v>
      </c>
      <c r="B571" s="90" t="s">
        <v>534</v>
      </c>
      <c r="C571" s="90" t="s">
        <v>535</v>
      </c>
      <c r="D571" s="91">
        <v>30928</v>
      </c>
      <c r="E571" s="90">
        <v>41</v>
      </c>
      <c r="F571" s="90" t="s">
        <v>10</v>
      </c>
      <c r="G571" s="90" t="s">
        <v>10</v>
      </c>
      <c r="H571" s="90" t="s">
        <v>10</v>
      </c>
      <c r="I571" s="88"/>
      <c r="J571" s="90" t="s">
        <v>301</v>
      </c>
      <c r="K571" s="90" t="s">
        <v>302</v>
      </c>
      <c r="L571" s="90" t="s">
        <v>7</v>
      </c>
      <c r="M571" s="90" t="s">
        <v>6</v>
      </c>
      <c r="N571" s="88"/>
      <c r="O571" s="91">
        <v>45595</v>
      </c>
      <c r="P571" s="91">
        <v>45611</v>
      </c>
      <c r="Q571" s="91">
        <v>45623</v>
      </c>
      <c r="R571" s="88"/>
      <c r="S571" s="91">
        <v>45623</v>
      </c>
      <c r="T571" s="91">
        <v>45623</v>
      </c>
      <c r="U571" s="90" t="s">
        <v>712</v>
      </c>
      <c r="V571" s="90" t="s">
        <v>224</v>
      </c>
      <c r="W571" s="90">
        <v>0</v>
      </c>
      <c r="X571" s="88"/>
      <c r="Y571" s="88"/>
      <c r="Z571" s="88"/>
      <c r="AA571" s="88"/>
      <c r="AB571" s="88"/>
      <c r="AC571" s="92">
        <v>45655.50277777778</v>
      </c>
    </row>
    <row r="572" spans="1:29" ht="16" x14ac:dyDescent="0.2">
      <c r="A572" s="90" t="s">
        <v>0</v>
      </c>
      <c r="B572" s="90" t="s">
        <v>588</v>
      </c>
      <c r="C572" s="90" t="s">
        <v>589</v>
      </c>
      <c r="D572" s="91">
        <v>36032</v>
      </c>
      <c r="E572" s="90">
        <v>27</v>
      </c>
      <c r="F572" s="90" t="s">
        <v>10</v>
      </c>
      <c r="G572" s="90" t="s">
        <v>10</v>
      </c>
      <c r="H572" s="90" t="s">
        <v>10</v>
      </c>
      <c r="I572" s="91">
        <v>45261</v>
      </c>
      <c r="J572" s="90" t="s">
        <v>110</v>
      </c>
      <c r="K572" s="90" t="s">
        <v>128</v>
      </c>
      <c r="L572" s="90" t="s">
        <v>7</v>
      </c>
      <c r="M572" s="90" t="s">
        <v>6</v>
      </c>
      <c r="N572" s="90" t="s">
        <v>174</v>
      </c>
      <c r="O572" s="91">
        <v>45595</v>
      </c>
      <c r="P572" s="91">
        <v>45769</v>
      </c>
      <c r="Q572" s="91">
        <v>45603</v>
      </c>
      <c r="R572" s="91">
        <v>45608</v>
      </c>
      <c r="S572" s="91">
        <v>45608</v>
      </c>
      <c r="T572" s="91">
        <v>45667</v>
      </c>
      <c r="U572" s="90" t="s">
        <v>60</v>
      </c>
      <c r="V572" s="90" t="s">
        <v>224</v>
      </c>
      <c r="W572" s="90">
        <v>1</v>
      </c>
      <c r="X572" s="90" t="s">
        <v>708</v>
      </c>
      <c r="Y572" s="91">
        <v>45597</v>
      </c>
      <c r="Z572" s="91">
        <v>45777</v>
      </c>
      <c r="AA572" s="88"/>
      <c r="AB572" s="88"/>
      <c r="AC572" s="92">
        <v>45921.619444444441</v>
      </c>
    </row>
    <row r="573" spans="1:29" ht="16" x14ac:dyDescent="0.2">
      <c r="A573" s="90" t="s">
        <v>0</v>
      </c>
      <c r="B573" s="90" t="s">
        <v>550</v>
      </c>
      <c r="C573" s="90" t="s">
        <v>551</v>
      </c>
      <c r="D573" s="91">
        <v>26724</v>
      </c>
      <c r="E573" s="90">
        <v>52</v>
      </c>
      <c r="F573" s="90" t="s">
        <v>11</v>
      </c>
      <c r="G573" s="90" t="s">
        <v>11</v>
      </c>
      <c r="H573" s="90" t="s">
        <v>10</v>
      </c>
      <c r="I573" s="91">
        <v>45323</v>
      </c>
      <c r="J573" s="90" t="s">
        <v>188</v>
      </c>
      <c r="K573" s="90" t="s">
        <v>552</v>
      </c>
      <c r="L573" s="90" t="s">
        <v>5</v>
      </c>
      <c r="M573" s="90" t="s">
        <v>6</v>
      </c>
      <c r="N573" s="90" t="s">
        <v>119</v>
      </c>
      <c r="O573" s="91">
        <v>45594</v>
      </c>
      <c r="P573" s="91">
        <v>45601</v>
      </c>
      <c r="Q573" s="91">
        <v>45598</v>
      </c>
      <c r="R573" s="91">
        <v>45601</v>
      </c>
      <c r="S573" s="91">
        <v>45602</v>
      </c>
      <c r="T573" s="91">
        <v>45784</v>
      </c>
      <c r="U573" s="90" t="s">
        <v>329</v>
      </c>
      <c r="V573" s="90" t="s">
        <v>224</v>
      </c>
      <c r="W573" s="90">
        <v>2</v>
      </c>
      <c r="X573" s="90" t="s">
        <v>125</v>
      </c>
      <c r="Y573" s="91">
        <v>45597</v>
      </c>
      <c r="Z573" s="91">
        <v>45778</v>
      </c>
      <c r="AA573" s="88"/>
      <c r="AB573" s="88"/>
      <c r="AC573" s="92">
        <v>45784.743055555555</v>
      </c>
    </row>
    <row r="574" spans="1:29" ht="16" x14ac:dyDescent="0.2">
      <c r="A574" s="90" t="s">
        <v>0</v>
      </c>
      <c r="B574" s="90" t="s">
        <v>202</v>
      </c>
      <c r="C574" s="90" t="s">
        <v>395</v>
      </c>
      <c r="D574" s="91">
        <v>28122</v>
      </c>
      <c r="E574" s="90">
        <v>49</v>
      </c>
      <c r="F574" s="90" t="s">
        <v>10</v>
      </c>
      <c r="G574" s="90" t="s">
        <v>11</v>
      </c>
      <c r="H574" s="90" t="s">
        <v>10</v>
      </c>
      <c r="I574" s="88"/>
      <c r="J574" s="90" t="s">
        <v>401</v>
      </c>
      <c r="K574" s="90" t="s">
        <v>453</v>
      </c>
      <c r="L574" s="90" t="s">
        <v>7</v>
      </c>
      <c r="M574" s="90" t="s">
        <v>6</v>
      </c>
      <c r="N574" s="90" t="s">
        <v>119</v>
      </c>
      <c r="O574" s="91">
        <v>45594</v>
      </c>
      <c r="P574" s="91">
        <v>45611</v>
      </c>
      <c r="Q574" s="91">
        <v>45611</v>
      </c>
      <c r="R574" s="91">
        <v>45617</v>
      </c>
      <c r="S574" s="91">
        <v>45617</v>
      </c>
      <c r="T574" s="91">
        <v>45869</v>
      </c>
      <c r="U574" s="90" t="s">
        <v>407</v>
      </c>
      <c r="V574" s="90" t="s">
        <v>224</v>
      </c>
      <c r="W574" s="90">
        <v>6</v>
      </c>
      <c r="X574" s="90" t="s">
        <v>125</v>
      </c>
      <c r="Y574" s="91">
        <v>45597</v>
      </c>
      <c r="Z574" s="91">
        <v>45777</v>
      </c>
      <c r="AA574" s="88"/>
      <c r="AB574" s="88"/>
      <c r="AC574" s="92">
        <v>45952.838194444441</v>
      </c>
    </row>
    <row r="575" spans="1:29" ht="16" x14ac:dyDescent="0.2">
      <c r="A575" s="90" t="s">
        <v>1</v>
      </c>
      <c r="B575" s="90" t="s">
        <v>433</v>
      </c>
      <c r="C575" s="90" t="s">
        <v>857</v>
      </c>
      <c r="D575" s="91">
        <v>25294</v>
      </c>
      <c r="E575" s="90">
        <v>56</v>
      </c>
      <c r="F575" s="90" t="s">
        <v>10</v>
      </c>
      <c r="G575" s="90" t="s">
        <v>11</v>
      </c>
      <c r="H575" s="90" t="s">
        <v>10</v>
      </c>
      <c r="I575" s="88"/>
      <c r="J575" s="90" t="s">
        <v>153</v>
      </c>
      <c r="K575" s="90" t="s">
        <v>288</v>
      </c>
      <c r="L575" s="90" t="s">
        <v>5</v>
      </c>
      <c r="M575" s="90" t="s">
        <v>6</v>
      </c>
      <c r="N575" s="90" t="s">
        <v>119</v>
      </c>
      <c r="O575" s="91">
        <v>45590</v>
      </c>
      <c r="P575" s="91">
        <v>45869</v>
      </c>
      <c r="Q575" s="91">
        <v>45598</v>
      </c>
      <c r="R575" s="91">
        <v>45601</v>
      </c>
      <c r="S575" s="91">
        <v>45602</v>
      </c>
      <c r="T575" s="91">
        <v>45808</v>
      </c>
      <c r="U575" s="90" t="s">
        <v>1114</v>
      </c>
      <c r="V575" s="90" t="s">
        <v>224</v>
      </c>
      <c r="W575" s="90">
        <v>4</v>
      </c>
      <c r="X575" s="90" t="s">
        <v>125</v>
      </c>
      <c r="Y575" s="91">
        <v>45658</v>
      </c>
      <c r="Z575" s="91">
        <v>45839</v>
      </c>
      <c r="AA575" s="88"/>
      <c r="AB575" s="88"/>
      <c r="AC575" s="92">
        <v>45869.603472222225</v>
      </c>
    </row>
    <row r="576" spans="1:29" ht="16" x14ac:dyDescent="0.2">
      <c r="A576" s="90" t="s">
        <v>0</v>
      </c>
      <c r="B576" s="90" t="s">
        <v>136</v>
      </c>
      <c r="C576" s="90" t="s">
        <v>556</v>
      </c>
      <c r="D576" s="91">
        <v>34421</v>
      </c>
      <c r="E576" s="90">
        <v>31</v>
      </c>
      <c r="F576" s="90" t="s">
        <v>11</v>
      </c>
      <c r="G576" s="90" t="s">
        <v>10</v>
      </c>
      <c r="H576" s="90" t="s">
        <v>10</v>
      </c>
      <c r="I576" s="91">
        <v>43525</v>
      </c>
      <c r="J576" s="90" t="s">
        <v>110</v>
      </c>
      <c r="K576" s="90" t="s">
        <v>128</v>
      </c>
      <c r="L576" s="90" t="s">
        <v>7</v>
      </c>
      <c r="M576" s="90" t="s">
        <v>6</v>
      </c>
      <c r="N576" s="90" t="s">
        <v>117</v>
      </c>
      <c r="O576" s="91">
        <v>45589</v>
      </c>
      <c r="P576" s="91">
        <v>45608</v>
      </c>
      <c r="Q576" s="91">
        <v>45609</v>
      </c>
      <c r="R576" s="91">
        <v>45615</v>
      </c>
      <c r="S576" s="91">
        <v>45615</v>
      </c>
      <c r="T576" s="91">
        <v>45771</v>
      </c>
      <c r="U576" s="90" t="s">
        <v>362</v>
      </c>
      <c r="V576" s="90" t="s">
        <v>224</v>
      </c>
      <c r="W576" s="90">
        <v>1</v>
      </c>
      <c r="X576" s="90" t="s">
        <v>708</v>
      </c>
      <c r="Y576" s="91">
        <v>45597</v>
      </c>
      <c r="Z576" s="91">
        <v>45777</v>
      </c>
      <c r="AA576" s="88"/>
      <c r="AB576" s="88"/>
      <c r="AC576" s="92">
        <v>45771.540277777778</v>
      </c>
    </row>
    <row r="577" spans="1:29" ht="16" x14ac:dyDescent="0.2">
      <c r="A577" s="90" t="s">
        <v>1</v>
      </c>
      <c r="B577" s="90" t="s">
        <v>199</v>
      </c>
      <c r="C577" s="90" t="s">
        <v>555</v>
      </c>
      <c r="D577" s="91">
        <v>26451</v>
      </c>
      <c r="E577" s="90">
        <v>53</v>
      </c>
      <c r="F577" s="90" t="s">
        <v>11</v>
      </c>
      <c r="G577" s="90" t="s">
        <v>10</v>
      </c>
      <c r="H577" s="90" t="s">
        <v>10</v>
      </c>
      <c r="I577" s="91">
        <v>42644</v>
      </c>
      <c r="J577" s="90" t="s">
        <v>168</v>
      </c>
      <c r="K577" s="90" t="s">
        <v>169</v>
      </c>
      <c r="L577" s="90" t="s">
        <v>4</v>
      </c>
      <c r="M577" s="90" t="s">
        <v>6</v>
      </c>
      <c r="N577" s="90" t="s">
        <v>119</v>
      </c>
      <c r="O577" s="91">
        <v>45589</v>
      </c>
      <c r="P577" s="91">
        <v>45601</v>
      </c>
      <c r="Q577" s="91">
        <v>45602</v>
      </c>
      <c r="R577" s="91">
        <v>45614</v>
      </c>
      <c r="S577" s="91">
        <v>45643</v>
      </c>
      <c r="T577" s="91">
        <v>45709</v>
      </c>
      <c r="U577" s="90" t="s">
        <v>98</v>
      </c>
      <c r="V577" s="90" t="s">
        <v>224</v>
      </c>
      <c r="W577" s="90">
        <v>2</v>
      </c>
      <c r="X577" s="90" t="s">
        <v>125</v>
      </c>
      <c r="Y577" s="91">
        <v>45643</v>
      </c>
      <c r="Z577" s="91">
        <v>45825</v>
      </c>
      <c r="AA577" s="88"/>
      <c r="AB577" s="88"/>
      <c r="AC577" s="92">
        <v>45952.840277777781</v>
      </c>
    </row>
    <row r="578" spans="1:29" ht="16" x14ac:dyDescent="0.2">
      <c r="A578" s="90" t="s">
        <v>1</v>
      </c>
      <c r="B578" s="90" t="s">
        <v>545</v>
      </c>
      <c r="C578" s="90" t="s">
        <v>546</v>
      </c>
      <c r="D578" s="91">
        <v>33316</v>
      </c>
      <c r="E578" s="90">
        <v>34</v>
      </c>
      <c r="F578" s="90" t="s">
        <v>11</v>
      </c>
      <c r="G578" s="90" t="s">
        <v>10</v>
      </c>
      <c r="H578" s="90" t="s">
        <v>10</v>
      </c>
      <c r="I578" s="91">
        <v>45383</v>
      </c>
      <c r="J578" s="90" t="s">
        <v>347</v>
      </c>
      <c r="K578" s="90" t="s">
        <v>348</v>
      </c>
      <c r="L578" s="90" t="s">
        <v>4</v>
      </c>
      <c r="M578" s="90" t="s">
        <v>6</v>
      </c>
      <c r="N578" s="90" t="s">
        <v>226</v>
      </c>
      <c r="O578" s="91">
        <v>45589</v>
      </c>
      <c r="P578" s="91">
        <v>45590</v>
      </c>
      <c r="Q578" s="91">
        <v>45594</v>
      </c>
      <c r="R578" s="91">
        <v>45600</v>
      </c>
      <c r="S578" s="91">
        <v>45600</v>
      </c>
      <c r="T578" s="91">
        <v>45600</v>
      </c>
      <c r="U578" s="90" t="s">
        <v>92</v>
      </c>
      <c r="V578" s="90" t="s">
        <v>224</v>
      </c>
      <c r="W578" s="90">
        <v>1</v>
      </c>
      <c r="X578" s="90" t="s">
        <v>125</v>
      </c>
      <c r="Y578" s="88"/>
      <c r="Z578" s="88"/>
      <c r="AA578" s="88"/>
      <c r="AB578" s="88"/>
      <c r="AC578" s="92">
        <v>45655.504861111112</v>
      </c>
    </row>
    <row r="579" spans="1:29" ht="16" x14ac:dyDescent="0.2">
      <c r="A579" s="90" t="s">
        <v>0</v>
      </c>
      <c r="B579" s="90" t="s">
        <v>553</v>
      </c>
      <c r="C579" s="90" t="s">
        <v>554</v>
      </c>
      <c r="D579" s="91">
        <v>26449</v>
      </c>
      <c r="E579" s="90">
        <v>53</v>
      </c>
      <c r="F579" s="90" t="s">
        <v>10</v>
      </c>
      <c r="G579" s="90" t="s">
        <v>10</v>
      </c>
      <c r="H579" s="90" t="s">
        <v>10</v>
      </c>
      <c r="I579" s="91">
        <v>43862</v>
      </c>
      <c r="J579" s="90" t="s">
        <v>347</v>
      </c>
      <c r="K579" s="90" t="s">
        <v>348</v>
      </c>
      <c r="L579" s="90" t="s">
        <v>4</v>
      </c>
      <c r="M579" s="90" t="s">
        <v>6</v>
      </c>
      <c r="N579" s="88"/>
      <c r="O579" s="91">
        <v>45589</v>
      </c>
      <c r="P579" s="91">
        <v>45601</v>
      </c>
      <c r="Q579" s="91">
        <v>45614</v>
      </c>
      <c r="R579" s="88"/>
      <c r="S579" s="91">
        <v>45614</v>
      </c>
      <c r="T579" s="91">
        <v>45614</v>
      </c>
      <c r="U579" s="90" t="s">
        <v>712</v>
      </c>
      <c r="V579" s="90" t="s">
        <v>224</v>
      </c>
      <c r="W579" s="90">
        <v>0</v>
      </c>
      <c r="X579" s="88"/>
      <c r="Y579" s="88"/>
      <c r="Z579" s="88"/>
      <c r="AA579" s="88"/>
      <c r="AB579" s="88"/>
      <c r="AC579" s="92">
        <v>45655.504861111112</v>
      </c>
    </row>
    <row r="580" spans="1:29" ht="16" x14ac:dyDescent="0.2">
      <c r="A580" s="90" t="s">
        <v>1</v>
      </c>
      <c r="B580" s="90" t="s">
        <v>529</v>
      </c>
      <c r="C580" s="90" t="s">
        <v>530</v>
      </c>
      <c r="D580" s="91">
        <v>30823</v>
      </c>
      <c r="E580" s="90">
        <v>41</v>
      </c>
      <c r="F580" s="90" t="s">
        <v>11</v>
      </c>
      <c r="G580" s="90" t="s">
        <v>10</v>
      </c>
      <c r="H580" s="90" t="s">
        <v>10</v>
      </c>
      <c r="I580" s="91">
        <v>43983</v>
      </c>
      <c r="J580" s="90" t="s">
        <v>168</v>
      </c>
      <c r="K580" s="90" t="s">
        <v>169</v>
      </c>
      <c r="L580" s="90" t="s">
        <v>4</v>
      </c>
      <c r="M580" s="90" t="s">
        <v>6</v>
      </c>
      <c r="N580" s="90" t="s">
        <v>120</v>
      </c>
      <c r="O580" s="91">
        <v>45587</v>
      </c>
      <c r="P580" s="91">
        <v>45601</v>
      </c>
      <c r="Q580" s="91">
        <v>45602</v>
      </c>
      <c r="R580" s="91">
        <v>45614</v>
      </c>
      <c r="S580" s="91">
        <v>45614</v>
      </c>
      <c r="T580" s="88"/>
      <c r="U580" s="88"/>
      <c r="V580" s="90" t="s">
        <v>32</v>
      </c>
      <c r="W580" s="90">
        <v>10</v>
      </c>
      <c r="X580" s="90" t="s">
        <v>125</v>
      </c>
      <c r="Y580" s="91">
        <v>45597</v>
      </c>
      <c r="Z580" s="91">
        <v>45900</v>
      </c>
      <c r="AA580" s="91">
        <v>45901</v>
      </c>
      <c r="AB580" s="91">
        <v>46022</v>
      </c>
      <c r="AC580" s="92">
        <v>45957.572916666664</v>
      </c>
    </row>
    <row r="581" spans="1:29" ht="16" x14ac:dyDescent="0.2">
      <c r="A581" s="90" t="s">
        <v>1</v>
      </c>
      <c r="B581" s="90" t="s">
        <v>527</v>
      </c>
      <c r="C581" s="90" t="s">
        <v>528</v>
      </c>
      <c r="D581" s="91">
        <v>30136</v>
      </c>
      <c r="E581" s="90">
        <v>43</v>
      </c>
      <c r="F581" s="90" t="s">
        <v>11</v>
      </c>
      <c r="G581" s="90" t="s">
        <v>10</v>
      </c>
      <c r="H581" s="90" t="s">
        <v>10</v>
      </c>
      <c r="I581" s="91">
        <v>45505</v>
      </c>
      <c r="J581" s="90" t="s">
        <v>110</v>
      </c>
      <c r="K581" s="90" t="s">
        <v>128</v>
      </c>
      <c r="L581" s="90" t="s">
        <v>7</v>
      </c>
      <c r="M581" s="90" t="s">
        <v>6</v>
      </c>
      <c r="N581" s="90" t="s">
        <v>124</v>
      </c>
      <c r="O581" s="91">
        <v>45587</v>
      </c>
      <c r="P581" s="91">
        <v>45608</v>
      </c>
      <c r="Q581" s="91">
        <v>45615</v>
      </c>
      <c r="R581" s="91">
        <v>45615</v>
      </c>
      <c r="S581" s="91">
        <v>45615</v>
      </c>
      <c r="T581" s="91">
        <v>45713</v>
      </c>
      <c r="U581" s="90" t="s">
        <v>60</v>
      </c>
      <c r="V581" s="90" t="s">
        <v>224</v>
      </c>
      <c r="W581" s="90">
        <v>1</v>
      </c>
      <c r="X581" s="90" t="s">
        <v>708</v>
      </c>
      <c r="Y581" s="91">
        <v>45597</v>
      </c>
      <c r="Z581" s="91">
        <v>45777</v>
      </c>
      <c r="AA581" s="88"/>
      <c r="AB581" s="88"/>
      <c r="AC581" s="92">
        <v>45952.838888888888</v>
      </c>
    </row>
    <row r="582" spans="1:29" ht="16" x14ac:dyDescent="0.2">
      <c r="A582" s="90" t="s">
        <v>0</v>
      </c>
      <c r="B582" s="90" t="s">
        <v>525</v>
      </c>
      <c r="C582" s="90" t="s">
        <v>526</v>
      </c>
      <c r="D582" s="91">
        <v>24748</v>
      </c>
      <c r="E582" s="90">
        <v>58</v>
      </c>
      <c r="F582" s="90" t="s">
        <v>10</v>
      </c>
      <c r="G582" s="90" t="s">
        <v>10</v>
      </c>
      <c r="H582" s="90" t="s">
        <v>10</v>
      </c>
      <c r="I582" s="88"/>
      <c r="J582" s="90" t="s">
        <v>157</v>
      </c>
      <c r="K582" s="90" t="s">
        <v>158</v>
      </c>
      <c r="L582" s="90" t="s">
        <v>7</v>
      </c>
      <c r="M582" s="90" t="s">
        <v>6</v>
      </c>
      <c r="N582" s="90" t="s">
        <v>119</v>
      </c>
      <c r="O582" s="91">
        <v>45587</v>
      </c>
      <c r="P582" s="91">
        <v>45894</v>
      </c>
      <c r="Q582" s="91">
        <v>45632</v>
      </c>
      <c r="R582" s="91">
        <v>45639</v>
      </c>
      <c r="S582" s="91">
        <v>45691</v>
      </c>
      <c r="T582" s="91">
        <v>45946</v>
      </c>
      <c r="U582" s="90" t="s">
        <v>1114</v>
      </c>
      <c r="V582" s="90" t="s">
        <v>224</v>
      </c>
      <c r="W582" s="90">
        <v>5</v>
      </c>
      <c r="X582" s="90" t="s">
        <v>228</v>
      </c>
      <c r="Y582" s="91">
        <v>45689</v>
      </c>
      <c r="Z582" s="91">
        <v>45869</v>
      </c>
      <c r="AA582" s="88"/>
      <c r="AB582" s="88"/>
      <c r="AC582" s="92">
        <v>45946.545138888891</v>
      </c>
    </row>
    <row r="583" spans="1:29" ht="16" x14ac:dyDescent="0.2">
      <c r="A583" s="90" t="s">
        <v>1</v>
      </c>
      <c r="B583" s="90" t="s">
        <v>235</v>
      </c>
      <c r="C583" s="90" t="s">
        <v>509</v>
      </c>
      <c r="D583" s="91">
        <v>27583</v>
      </c>
      <c r="E583" s="90">
        <v>50</v>
      </c>
      <c r="F583" s="90" t="s">
        <v>10</v>
      </c>
      <c r="G583" s="90" t="s">
        <v>11</v>
      </c>
      <c r="H583" s="90" t="s">
        <v>10</v>
      </c>
      <c r="I583" s="91">
        <v>44837</v>
      </c>
      <c r="J583" s="90" t="s">
        <v>8</v>
      </c>
      <c r="K583" s="90" t="s">
        <v>340</v>
      </c>
      <c r="L583" s="90" t="s">
        <v>4</v>
      </c>
      <c r="M583" s="90" t="s">
        <v>6</v>
      </c>
      <c r="N583" s="88"/>
      <c r="O583" s="91">
        <v>45586</v>
      </c>
      <c r="P583" s="91">
        <v>45601</v>
      </c>
      <c r="Q583" s="91">
        <v>45614</v>
      </c>
      <c r="R583" s="88"/>
      <c r="S583" s="91">
        <v>45614</v>
      </c>
      <c r="T583" s="91">
        <v>45614</v>
      </c>
      <c r="U583" s="90" t="s">
        <v>712</v>
      </c>
      <c r="V583" s="90" t="s">
        <v>224</v>
      </c>
      <c r="W583" s="90">
        <v>0</v>
      </c>
      <c r="X583" s="88"/>
      <c r="Y583" s="88"/>
      <c r="Z583" s="88"/>
      <c r="AA583" s="88"/>
      <c r="AB583" s="88"/>
      <c r="AC583" s="92">
        <v>45921.427777777775</v>
      </c>
    </row>
    <row r="584" spans="1:29" ht="16" x14ac:dyDescent="0.2">
      <c r="A584" s="90" t="s">
        <v>1</v>
      </c>
      <c r="B584" s="90" t="s">
        <v>486</v>
      </c>
      <c r="C584" s="90" t="s">
        <v>533</v>
      </c>
      <c r="D584" s="91">
        <v>34984</v>
      </c>
      <c r="E584" s="90">
        <v>30</v>
      </c>
      <c r="F584" s="90" t="s">
        <v>11</v>
      </c>
      <c r="G584" s="90" t="s">
        <v>10</v>
      </c>
      <c r="H584" s="90" t="s">
        <v>10</v>
      </c>
      <c r="I584" s="88"/>
      <c r="J584" s="90" t="s">
        <v>240</v>
      </c>
      <c r="K584" s="90" t="s">
        <v>432</v>
      </c>
      <c r="L584" s="90" t="s">
        <v>7</v>
      </c>
      <c r="M584" s="90" t="s">
        <v>396</v>
      </c>
      <c r="N584" s="90" t="s">
        <v>226</v>
      </c>
      <c r="O584" s="91">
        <v>45586</v>
      </c>
      <c r="P584" s="91">
        <v>45611</v>
      </c>
      <c r="Q584" s="91">
        <v>45625</v>
      </c>
      <c r="R584" s="91">
        <v>45625</v>
      </c>
      <c r="S584" s="91">
        <v>45628</v>
      </c>
      <c r="T584" s="91">
        <v>45716</v>
      </c>
      <c r="U584" s="90" t="s">
        <v>218</v>
      </c>
      <c r="V584" s="90" t="s">
        <v>224</v>
      </c>
      <c r="W584" s="90">
        <v>3</v>
      </c>
      <c r="X584" s="90" t="s">
        <v>228</v>
      </c>
      <c r="Y584" s="91">
        <v>45627</v>
      </c>
      <c r="Z584" s="91">
        <v>45716</v>
      </c>
      <c r="AA584" s="88"/>
      <c r="AB584" s="88"/>
      <c r="AC584" s="92">
        <v>45712.448611111111</v>
      </c>
    </row>
    <row r="585" spans="1:29" ht="16" x14ac:dyDescent="0.2">
      <c r="A585" s="90" t="s">
        <v>1</v>
      </c>
      <c r="B585" s="90" t="s">
        <v>531</v>
      </c>
      <c r="C585" s="90" t="s">
        <v>532</v>
      </c>
      <c r="D585" s="91">
        <v>31827</v>
      </c>
      <c r="E585" s="90">
        <v>38</v>
      </c>
      <c r="F585" s="90" t="s">
        <v>11</v>
      </c>
      <c r="G585" s="90" t="s">
        <v>11</v>
      </c>
      <c r="H585" s="90" t="s">
        <v>10</v>
      </c>
      <c r="I585" s="91">
        <v>45474</v>
      </c>
      <c r="J585" s="90" t="s">
        <v>138</v>
      </c>
      <c r="K585" s="90" t="s">
        <v>139</v>
      </c>
      <c r="L585" s="90" t="s">
        <v>7</v>
      </c>
      <c r="M585" s="90" t="s">
        <v>6</v>
      </c>
      <c r="N585" s="90" t="s">
        <v>120</v>
      </c>
      <c r="O585" s="91">
        <v>45586</v>
      </c>
      <c r="P585" s="91">
        <v>45621</v>
      </c>
      <c r="Q585" s="91">
        <v>45623</v>
      </c>
      <c r="R585" s="91">
        <v>45663</v>
      </c>
      <c r="S585" s="91">
        <v>45663</v>
      </c>
      <c r="T585" s="88"/>
      <c r="U585" s="90" t="s">
        <v>319</v>
      </c>
      <c r="V585" s="90" t="s">
        <v>32</v>
      </c>
      <c r="W585" s="90">
        <v>7</v>
      </c>
      <c r="X585" s="90" t="s">
        <v>228</v>
      </c>
      <c r="Y585" s="91">
        <v>45658</v>
      </c>
      <c r="Z585" s="91">
        <v>45838</v>
      </c>
      <c r="AA585" s="91">
        <v>45839</v>
      </c>
      <c r="AB585" s="91">
        <v>46022</v>
      </c>
      <c r="AC585" s="92">
        <v>45946.498611111114</v>
      </c>
    </row>
    <row r="586" spans="1:29" ht="16" x14ac:dyDescent="0.2">
      <c r="A586" s="90" t="s">
        <v>1</v>
      </c>
      <c r="B586" s="90" t="s">
        <v>536</v>
      </c>
      <c r="C586" s="90" t="s">
        <v>537</v>
      </c>
      <c r="D586" s="91">
        <v>30505</v>
      </c>
      <c r="E586" s="90">
        <v>42</v>
      </c>
      <c r="F586" s="90" t="s">
        <v>11</v>
      </c>
      <c r="G586" s="90" t="s">
        <v>10</v>
      </c>
      <c r="H586" s="90" t="s">
        <v>10</v>
      </c>
      <c r="I586" s="91">
        <v>45444</v>
      </c>
      <c r="J586" s="90" t="s">
        <v>110</v>
      </c>
      <c r="K586" s="90" t="s">
        <v>128</v>
      </c>
      <c r="L586" s="90" t="s">
        <v>7</v>
      </c>
      <c r="M586" s="90" t="s">
        <v>6</v>
      </c>
      <c r="N586" s="90" t="s">
        <v>119</v>
      </c>
      <c r="O586" s="91">
        <v>45583</v>
      </c>
      <c r="P586" s="91">
        <v>45593</v>
      </c>
      <c r="Q586" s="91">
        <v>45590</v>
      </c>
      <c r="R586" s="91">
        <v>45590</v>
      </c>
      <c r="S586" s="91">
        <v>45590</v>
      </c>
      <c r="T586" s="91">
        <v>45770</v>
      </c>
      <c r="U586" s="90" t="s">
        <v>408</v>
      </c>
      <c r="V586" s="90" t="s">
        <v>224</v>
      </c>
      <c r="W586" s="90">
        <v>3</v>
      </c>
      <c r="X586" s="90" t="s">
        <v>708</v>
      </c>
      <c r="Y586" s="91">
        <v>45597</v>
      </c>
      <c r="Z586" s="91">
        <v>45777</v>
      </c>
      <c r="AA586" s="88"/>
      <c r="AB586" s="88"/>
      <c r="AC586" s="92">
        <v>45953.609027777777</v>
      </c>
    </row>
    <row r="587" spans="1:29" ht="16" x14ac:dyDescent="0.2">
      <c r="A587" s="90" t="s">
        <v>1</v>
      </c>
      <c r="B587" s="90" t="s">
        <v>548</v>
      </c>
      <c r="C587" s="90" t="s">
        <v>524</v>
      </c>
      <c r="D587" s="91">
        <v>32337</v>
      </c>
      <c r="E587" s="90">
        <v>37</v>
      </c>
      <c r="F587" s="88"/>
      <c r="G587" s="88"/>
      <c r="H587" s="88"/>
      <c r="I587" s="88"/>
      <c r="J587" s="90" t="s">
        <v>350</v>
      </c>
      <c r="K587" s="90" t="s">
        <v>549</v>
      </c>
      <c r="L587" s="90" t="s">
        <v>7</v>
      </c>
      <c r="M587" s="90" t="s">
        <v>6</v>
      </c>
      <c r="N587" s="90" t="s">
        <v>119</v>
      </c>
      <c r="O587" s="91">
        <v>45588</v>
      </c>
      <c r="P587" s="91">
        <v>45588</v>
      </c>
      <c r="Q587" s="91">
        <v>45588</v>
      </c>
      <c r="R587" s="91">
        <v>45589</v>
      </c>
      <c r="S587" s="91">
        <v>45589</v>
      </c>
      <c r="T587" s="91">
        <v>45722</v>
      </c>
      <c r="U587" s="90" t="s">
        <v>408</v>
      </c>
      <c r="V587" s="90" t="s">
        <v>224</v>
      </c>
      <c r="W587" s="90">
        <v>11</v>
      </c>
      <c r="X587" s="90" t="s">
        <v>125</v>
      </c>
      <c r="Y587" s="91">
        <v>45597</v>
      </c>
      <c r="Z587" s="91">
        <v>45777</v>
      </c>
      <c r="AA587" s="88"/>
      <c r="AB587" s="88"/>
      <c r="AC587" s="92">
        <v>45722.557638888888</v>
      </c>
    </row>
  </sheetData>
  <sheetProtection sort="0" autoFilter="0"/>
  <autoFilter ref="A1:AC1" xr:uid="{00000000-0001-0000-0300-000000000000}"/>
  <sortState xmlns:xlrd2="http://schemas.microsoft.com/office/spreadsheetml/2017/richdata2" ref="A2:Y483">
    <sortCondition descending="1" ref="O1:O48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B1500"/>
  <sheetViews>
    <sheetView workbookViewId="0">
      <pane ySplit="1" topLeftCell="A2" activePane="bottomLeft" state="frozen"/>
      <selection pane="bottomLeft" activeCell="M9" sqref="M9"/>
    </sheetView>
  </sheetViews>
  <sheetFormatPr baseColWidth="10" defaultColWidth="11" defaultRowHeight="14" x14ac:dyDescent="0.2"/>
  <cols>
    <col min="1" max="1" width="14.1640625" style="45" customWidth="1"/>
    <col min="2" max="2" width="14.33203125" style="64" bestFit="1" customWidth="1"/>
    <col min="3" max="3" width="11.1640625" style="81" bestFit="1" customWidth="1"/>
    <col min="4" max="4" width="10.83203125" style="81" bestFit="1" customWidth="1"/>
    <col min="5" max="5" width="13" style="83" bestFit="1" customWidth="1"/>
    <col min="6" max="6" width="15.1640625" style="45" customWidth="1"/>
    <col min="7" max="7" width="15.6640625" style="45" bestFit="1" customWidth="1"/>
    <col min="8" max="8" width="16.6640625" style="45" bestFit="1" customWidth="1"/>
    <col min="9" max="9" width="6.6640625" style="81" bestFit="1" customWidth="1"/>
    <col min="10" max="10" width="7.5" style="45" bestFit="1" customWidth="1"/>
    <col min="11" max="11" width="19" style="45" bestFit="1" customWidth="1"/>
    <col min="12" max="12" width="10.83203125" style="45" bestFit="1" customWidth="1"/>
    <col min="13" max="13" width="17.6640625" style="45" bestFit="1" customWidth="1"/>
    <col min="14" max="14" width="17.6640625" style="81" customWidth="1"/>
    <col min="15" max="15" width="10.83203125" style="81" bestFit="1" customWidth="1"/>
    <col min="16" max="16" width="10" style="81" customWidth="1"/>
    <col min="17" max="17" width="11.5" style="81" customWidth="1"/>
    <col min="18" max="18" width="10.83203125" style="81" bestFit="1" customWidth="1"/>
    <col min="19" max="19" width="84" style="45" bestFit="1" customWidth="1"/>
    <col min="20" max="20" width="11" style="45"/>
    <col min="21" max="21" width="14.33203125" style="45" bestFit="1" customWidth="1"/>
    <col min="22" max="22" width="9.1640625" style="45" bestFit="1" customWidth="1"/>
    <col min="23" max="23" width="8.33203125" style="45" bestFit="1" customWidth="1"/>
    <col min="24" max="24" width="12" style="45" bestFit="1" customWidth="1"/>
    <col min="25" max="25" width="20.1640625" style="45" bestFit="1" customWidth="1"/>
    <col min="26" max="26" width="25.5" style="45" bestFit="1" customWidth="1"/>
    <col min="27" max="27" width="16.6640625" style="45" bestFit="1" customWidth="1"/>
    <col min="28" max="28" width="15.6640625" style="45" bestFit="1" customWidth="1"/>
    <col min="29" max="29" width="20.33203125" style="45" customWidth="1"/>
    <col min="30" max="16384" width="11" style="45"/>
  </cols>
  <sheetData>
    <row r="1" spans="1:28" x14ac:dyDescent="0.2">
      <c r="A1" s="64"/>
      <c r="B1" s="64" t="s">
        <v>12</v>
      </c>
      <c r="C1" s="80" t="s">
        <v>17</v>
      </c>
      <c r="D1" s="81" t="s">
        <v>13</v>
      </c>
      <c r="E1" s="82" t="s">
        <v>14</v>
      </c>
      <c r="F1" s="45" t="s">
        <v>15</v>
      </c>
      <c r="G1" s="45" t="s">
        <v>16</v>
      </c>
      <c r="H1" s="45" t="s">
        <v>22</v>
      </c>
      <c r="I1" s="81" t="s">
        <v>53</v>
      </c>
      <c r="J1" s="45" t="s">
        <v>52</v>
      </c>
      <c r="K1" s="45" t="s">
        <v>54</v>
      </c>
      <c r="L1" s="45" t="s">
        <v>52</v>
      </c>
      <c r="M1" s="45" t="s">
        <v>55</v>
      </c>
      <c r="N1" s="81" t="s">
        <v>700</v>
      </c>
      <c r="O1" s="81" t="s">
        <v>56</v>
      </c>
      <c r="P1" s="81" t="s">
        <v>57</v>
      </c>
      <c r="Q1" s="81" t="s">
        <v>58</v>
      </c>
      <c r="R1" s="81" t="s">
        <v>59</v>
      </c>
      <c r="S1" s="45" t="s">
        <v>61</v>
      </c>
      <c r="AA1" s="45" t="s">
        <v>223</v>
      </c>
    </row>
    <row r="2" spans="1:28" x14ac:dyDescent="0.2">
      <c r="A2" s="65">
        <f>G6</f>
        <v>586</v>
      </c>
      <c r="B2" s="45">
        <f>COUNTIFS(Data!E:E,"&lt;30")</f>
        <v>44</v>
      </c>
      <c r="C2" s="80">
        <f t="shared" ref="C2:C65" ca="1" si="0">TODAY()</f>
        <v>45959</v>
      </c>
      <c r="D2" s="81">
        <f ca="1">IF(Data!I2&lt;&gt;"",DATEDIF(Data!I2,C2,"m"),0)</f>
        <v>2</v>
      </c>
      <c r="E2" s="82">
        <f t="shared" ref="E2" ca="1" si="1">D2/12</f>
        <v>0.16666666666666666</v>
      </c>
      <c r="F2" s="45">
        <f ca="1">COUNTIFS(E:E,"&lt;2")</f>
        <v>1161</v>
      </c>
      <c r="G2" s="45">
        <f>COUNTIFS(Data!A:A,"=Mr")</f>
        <v>286</v>
      </c>
      <c r="H2" s="45">
        <f>COUNTIFS(Data!M:M,"=CD")</f>
        <v>476</v>
      </c>
      <c r="I2" s="81" t="str">
        <f>CONCATENATE(Data!M2,"-",Data!L2)</f>
        <v>CD-GE</v>
      </c>
      <c r="J2" s="45" t="s">
        <v>863</v>
      </c>
      <c r="K2" s="45">
        <f>COUNTIFS(I:I,"=CD-BA")</f>
        <v>159</v>
      </c>
      <c r="L2" s="45" t="s">
        <v>3</v>
      </c>
      <c r="M2" s="45">
        <f>K2+K6+K10+K14+K17+K21+K25</f>
        <v>192</v>
      </c>
      <c r="N2" s="81">
        <f>IF(Data!P2,DATEDIF(Data!O2,Data!P2,"d"),0)</f>
        <v>0</v>
      </c>
      <c r="O2" s="81">
        <f>IF(Data!M2="CD",1,0)</f>
        <v>1</v>
      </c>
      <c r="P2" s="81">
        <f>IF(Data!M2="CD",0,1)</f>
        <v>0</v>
      </c>
      <c r="Q2" s="81">
        <f>IF(Data!Q2&gt;Data!P2,DATEDIF(Data!P2,Data!Q2,"d"),0)</f>
        <v>0</v>
      </c>
      <c r="R2" s="81">
        <f>IF(Data!R2&gt;Data!Q2,DATEDIF(Data!Q2,Data!R2,"d"),0)</f>
        <v>0</v>
      </c>
      <c r="U2" s="45" t="s">
        <v>68</v>
      </c>
      <c r="V2" s="45" t="s">
        <v>70</v>
      </c>
      <c r="W2" s="45" t="s">
        <v>69</v>
      </c>
      <c r="X2" s="45" t="s">
        <v>71</v>
      </c>
      <c r="Y2" s="45" t="s">
        <v>699</v>
      </c>
    </row>
    <row r="3" spans="1:28" ht="16" x14ac:dyDescent="0.2">
      <c r="A3" s="45">
        <f>SUM(COUNTIFS(Data!V:V,"=Validé"),COUNTIFS(Data!V:V,"=Fermé"))</f>
        <v>528</v>
      </c>
      <c r="B3" s="45">
        <f>COUNTIFS(Data!E:E,"&gt;29",Data!E:E,"&lt;40")</f>
        <v>109</v>
      </c>
      <c r="C3" s="80">
        <f t="shared" ca="1" si="0"/>
        <v>45959</v>
      </c>
      <c r="D3" s="81">
        <f ca="1">IF(Data!I3&lt;&gt;"",DATEDIF(Data!I3,C3,"m"),0)</f>
        <v>19</v>
      </c>
      <c r="E3" s="82">
        <f t="shared" ref="E3:E66" ca="1" si="2">D3/12</f>
        <v>1.5833333333333333</v>
      </c>
      <c r="F3" s="45">
        <f ca="1">COUNTIFS(E:E,"&gt;1",E:E,"&lt;5")</f>
        <v>199</v>
      </c>
      <c r="G3" s="45">
        <f>COUNTIFS(Data!A:A,"=Mme")</f>
        <v>300</v>
      </c>
      <c r="H3" s="45">
        <f>COUNTIFS(Data!M:M,"=IF")</f>
        <v>2</v>
      </c>
      <c r="I3" s="81" t="str">
        <f>CONCATENATE(Data!M3,"-",Data!L3)</f>
        <v>CD-CH</v>
      </c>
      <c r="J3" s="45" t="s">
        <v>864</v>
      </c>
      <c r="K3" s="45">
        <f>COUNTIFS(I:I,"=CD-GE")</f>
        <v>169</v>
      </c>
      <c r="L3" s="45" t="s">
        <v>7</v>
      </c>
      <c r="M3" s="45">
        <f>K7+K11+K3+K15+K18+K22+K26</f>
        <v>220</v>
      </c>
      <c r="N3" s="81">
        <f>IF(Data!P3,DATEDIF(Data!O3,Data!P3,"d"),0)</f>
        <v>0</v>
      </c>
      <c r="O3" s="81">
        <f>IF(Data!M3="CD",1,0)</f>
        <v>1</v>
      </c>
      <c r="P3" s="81">
        <f>IF(Data!M3="CD",0,1)</f>
        <v>0</v>
      </c>
      <c r="Q3" s="81">
        <f>IF(Data!Q3&gt;Data!P3,DATEDIF(Data!P3,Data!Q3,"d"),0)</f>
        <v>0</v>
      </c>
      <c r="R3" s="81">
        <f>IF(Data!R3&gt;Data!Q3,DATEDIF(Data!Q3,Data!R3,"d"),0)</f>
        <v>0</v>
      </c>
      <c r="S3" s="45" t="s">
        <v>33</v>
      </c>
      <c r="T3" s="45">
        <f>COUNTIFS(Data!N:N,"=P1 - AAH")</f>
        <v>83</v>
      </c>
      <c r="U3" s="45">
        <f>COUNTIFS(Data!N:N,"=P1 - AAH",Data!L:L,"=BA")</f>
        <v>14</v>
      </c>
      <c r="V3" s="45">
        <f>COUNTIFS(Data!N:N,"=P1 - AAH",Data!L:L,"=GE")</f>
        <v>38</v>
      </c>
      <c r="W3" s="45">
        <f>COUNTIFS(Data!N:N,"=P1 - AAH",Data!L:L,"=CH")</f>
        <v>8</v>
      </c>
      <c r="X3" s="45">
        <f>COUNTIFS(Data!N:N,"=P1 - AAH",Data!L:L,"=VA")</f>
        <v>23</v>
      </c>
      <c r="Y3" s="68" t="s">
        <v>692</v>
      </c>
      <c r="Z3" t="s">
        <v>764</v>
      </c>
      <c r="AA3" s="45" t="s">
        <v>125</v>
      </c>
      <c r="AB3" s="45">
        <f>SUM(COUNTIFS(Data!X:X,"=Jean-Marc Boisier"),COUNTIFS(Data!X:X,"=Laurence Leclercq"),COUNTIFS(Data!X:X,"=Jean-Jacques Buffet"),COUNTIFS(Data!X:X,"=Hélène Crouy"))</f>
        <v>339</v>
      </c>
    </row>
    <row r="4" spans="1:28" ht="16" x14ac:dyDescent="0.2">
      <c r="A4" s="45">
        <f>COUNTIFS(Data!V:V,"=En attente de validation")</f>
        <v>17</v>
      </c>
      <c r="B4" s="45">
        <f>COUNTIFS(Data!E:E,"&gt;39",Data!E:E,"&lt;50")</f>
        <v>159</v>
      </c>
      <c r="C4" s="80">
        <f t="shared" ca="1" si="0"/>
        <v>45959</v>
      </c>
      <c r="D4" s="81">
        <f ca="1">IF(Data!I4&lt;&gt;"",DATEDIF(Data!I4,C4,"m"),0)</f>
        <v>18</v>
      </c>
      <c r="E4" s="82">
        <f t="shared" ca="1" si="2"/>
        <v>1.5</v>
      </c>
      <c r="F4" s="45">
        <f ca="1">COUNTIFS(E:E,"&gt;4",E:E,"&lt;9")</f>
        <v>144</v>
      </c>
      <c r="G4" s="63" t="s">
        <v>30</v>
      </c>
      <c r="H4" s="45">
        <f>COUNTIFS(Data!M:M,"=ML")</f>
        <v>20</v>
      </c>
      <c r="I4" s="81" t="str">
        <f>CONCATENATE(Data!M4,"-",Data!L4)</f>
        <v>CD-CH</v>
      </c>
      <c r="J4" s="45" t="s">
        <v>865</v>
      </c>
      <c r="K4" s="45">
        <f>COUNTIFS(I:I,"=CD-CH")</f>
        <v>56</v>
      </c>
      <c r="L4" s="45" t="s">
        <v>5</v>
      </c>
      <c r="M4" s="45">
        <f>K8+K12+K4+K19+K23+K27</f>
        <v>66</v>
      </c>
      <c r="N4" s="81">
        <f>IF(Data!P4,DATEDIF(Data!O4,Data!P4,"d"),0)</f>
        <v>0</v>
      </c>
      <c r="O4" s="81">
        <f>IF(Data!M4="CD",1,0)</f>
        <v>1</v>
      </c>
      <c r="P4" s="81">
        <f>IF(Data!M4="CD",0,1)</f>
        <v>0</v>
      </c>
      <c r="Q4" s="81">
        <f>IF(Data!Q4&gt;Data!P4,DATEDIF(Data!P4,Data!Q4,"d"),0)</f>
        <v>0</v>
      </c>
      <c r="R4" s="81">
        <f>IF(Data!R4&gt;Data!Q4,DATEDIF(Data!Q4,Data!R4,"d"),0)</f>
        <v>0</v>
      </c>
      <c r="S4" s="45" t="s">
        <v>62</v>
      </c>
      <c r="T4" s="45">
        <f>COUNTIFS(Data!N:N,"=P2 - AAH AUTRE")</f>
        <v>193</v>
      </c>
      <c r="U4" s="45">
        <f>COUNTIFS(Data!N:N,"=P2 - AAH AUTRE",Data!L:L,"=BA")</f>
        <v>78</v>
      </c>
      <c r="V4" s="45">
        <f>COUNTIFS(Data!N:N,"=P2 - AAH AUTRE",Data!L:L,"=GE")</f>
        <v>42</v>
      </c>
      <c r="W4" s="45">
        <f>COUNTIFS(Data!N:N,"=P2 - AAH AUTRE",Data!L:L,"=CH")</f>
        <v>31</v>
      </c>
      <c r="X4" s="45">
        <f>COUNTIFS(Data!N:N,"=P2 - AAH AUTRE",Data!L:L,"=VA")</f>
        <v>42</v>
      </c>
      <c r="Y4" s="69" t="s">
        <v>694</v>
      </c>
      <c r="Z4" s="111">
        <v>75</v>
      </c>
      <c r="AA4" s="45" t="s">
        <v>118</v>
      </c>
      <c r="AB4" s="45">
        <f>COUNTIFS(Data!X:X,"=Justine Ngambene")</f>
        <v>135</v>
      </c>
    </row>
    <row r="5" spans="1:28" ht="16" x14ac:dyDescent="0.2">
      <c r="A5" s="45">
        <f>COUNTIFS(Data!V:V,"Fermé")</f>
        <v>311</v>
      </c>
      <c r="B5" s="45">
        <f>COUNTIFS(Data!E:E,"&gt;49")</f>
        <v>274</v>
      </c>
      <c r="C5" s="80">
        <f t="shared" ca="1" si="0"/>
        <v>45959</v>
      </c>
      <c r="D5" s="81">
        <f ca="1">IF(Data!I5&lt;&gt;"",DATEDIF(Data!I5,C5,"m"),0)</f>
        <v>313</v>
      </c>
      <c r="E5" s="82">
        <f t="shared" ca="1" si="2"/>
        <v>26.083333333333332</v>
      </c>
      <c r="F5" s="45">
        <f ca="1">COUNTIFS(E:E,"&gt;8",E:E,"&lt;11")</f>
        <v>41</v>
      </c>
      <c r="G5" s="63" t="s">
        <v>31</v>
      </c>
      <c r="H5" s="45">
        <f>COUNTIFS(Data!M:M,"=CI")</f>
        <v>66</v>
      </c>
      <c r="I5" s="81" t="str">
        <f>CONCATENATE(Data!M5,"-",Data!L5)</f>
        <v>SA-BA</v>
      </c>
      <c r="J5" s="45" t="s">
        <v>866</v>
      </c>
      <c r="K5" s="45">
        <f>COUNTIFS(I:I,"=CD-VA")</f>
        <v>92</v>
      </c>
      <c r="L5" s="45" t="s">
        <v>4</v>
      </c>
      <c r="M5" s="45">
        <f>K9+K13+K5+K16+K20+K24+K28</f>
        <v>103</v>
      </c>
      <c r="N5" s="81">
        <f>IF(Data!P5,DATEDIF(Data!O5,Data!P5,"d"),0)</f>
        <v>0</v>
      </c>
      <c r="O5" s="81">
        <f>IF(Data!M5="CD",1,0)</f>
        <v>0</v>
      </c>
      <c r="P5" s="81">
        <f>IF(Data!M5="CD",0,1)</f>
        <v>1</v>
      </c>
      <c r="Q5" s="81">
        <f>IF(Data!Q5&gt;Data!P5,DATEDIF(Data!P5,Data!Q5,"d"),0)</f>
        <v>0</v>
      </c>
      <c r="R5" s="81">
        <f>IF(Data!R5&gt;Data!Q5,DATEDIF(Data!Q5,Data!R5,"d"),0)</f>
        <v>0</v>
      </c>
      <c r="S5" s="45" t="s">
        <v>63</v>
      </c>
      <c r="T5" s="45">
        <f>COUNTIFS(Data!N:N,"=P3 - EMPLOI AIDE TYPE EA")</f>
        <v>27</v>
      </c>
      <c r="U5" s="45">
        <f>COUNTIFS(Data!N:N,"=P3 - EMPLOI AIDE TYPE EA",Data!L:L,"=BA")</f>
        <v>15</v>
      </c>
      <c r="V5" s="45">
        <f>COUNTIFS(Data!N:N,"=P3 - EMPLOI AIDE TYPE EA",Data!L:L,"=GE")</f>
        <v>2</v>
      </c>
      <c r="W5" s="45">
        <f>COUNTIFS(Data!N:N,"=P3 - EMPLOI AIDE TYPE EA",Data!L:L,"=CH")</f>
        <v>4</v>
      </c>
      <c r="X5" s="45">
        <f>COUNTIFS(Data!N:N,"=P3 - EMPLOI AIDE TYPE EA",Data!L:L,"=VA")</f>
        <v>6</v>
      </c>
      <c r="Y5" s="69" t="s">
        <v>695</v>
      </c>
      <c r="Z5" s="111">
        <v>49</v>
      </c>
      <c r="AA5" s="45" t="s">
        <v>708</v>
      </c>
      <c r="AB5" s="45">
        <f>COUNTIFS(Data!X:X,"=Élodie Labrousse")</f>
        <v>28</v>
      </c>
    </row>
    <row r="6" spans="1:28" ht="16" x14ac:dyDescent="0.2">
      <c r="A6" s="45">
        <f>COUNTIFS(Data!S:V,"Refusé")</f>
        <v>41</v>
      </c>
      <c r="B6" s="66" t="s">
        <v>18</v>
      </c>
      <c r="C6" s="80">
        <f t="shared" ca="1" si="0"/>
        <v>45959</v>
      </c>
      <c r="D6" s="81">
        <f ca="1">IF(Data!I6&lt;&gt;"",DATEDIF(Data!I6,C6,"m"),0)</f>
        <v>1</v>
      </c>
      <c r="E6" s="82">
        <f t="shared" ca="1" si="2"/>
        <v>8.3333333333333329E-2</v>
      </c>
      <c r="F6" s="45">
        <f ca="1">COUNTIFS(E:E,"&gt;10")</f>
        <v>97</v>
      </c>
      <c r="G6" s="65">
        <f>SUM(G2:G3)</f>
        <v>586</v>
      </c>
      <c r="H6" s="45">
        <f>COUNTIFS(Data!M:M,"=AI")</f>
        <v>11</v>
      </c>
      <c r="I6" s="81" t="str">
        <f>CONCATENATE(Data!M6,"-",Data!L6)</f>
        <v>CD-BA</v>
      </c>
      <c r="J6" s="45" t="s">
        <v>28</v>
      </c>
      <c r="K6" s="45">
        <f>COUNTIFS(I:I,"=ML-BA")</f>
        <v>2</v>
      </c>
      <c r="L6" s="45" t="s">
        <v>1281</v>
      </c>
      <c r="M6" s="45">
        <f>K33</f>
        <v>4</v>
      </c>
      <c r="N6" s="81">
        <f>IF(Data!P6,DATEDIF(Data!O6,Data!P6,"d"),0)</f>
        <v>0</v>
      </c>
      <c r="O6" s="81">
        <f>IF(Data!M6="CD",1,0)</f>
        <v>1</v>
      </c>
      <c r="P6" s="81">
        <f>IF(Data!M6="CD",0,1)</f>
        <v>0</v>
      </c>
      <c r="Q6" s="81">
        <f>IF(Data!Q6&gt;Data!P6,DATEDIF(Data!P6,Data!Q6,"d"),0)</f>
        <v>4</v>
      </c>
      <c r="R6" s="81">
        <f>IF(Data!R6&gt;Data!Q6,DATEDIF(Data!Q6,Data!R6,"d"),0)</f>
        <v>0</v>
      </c>
      <c r="S6" s="45" t="s">
        <v>93</v>
      </c>
      <c r="T6" s="45">
        <f>COUNTIFS(Data!N:N,"=P4 - EMPLOI TPS PARTIEL")</f>
        <v>40</v>
      </c>
      <c r="U6" s="45">
        <f>COUNTIFS(Data!N:N,"=P4 - EMPLOI TPS PARTIEL",Data!L:L,"=BA")</f>
        <v>27</v>
      </c>
      <c r="V6" s="45">
        <f>COUNTIFS(Data!N:N,"=P4 - EMPLOI TPS PARTIEL",Data!L:L,"=GE")</f>
        <v>12</v>
      </c>
      <c r="W6" s="45">
        <f>COUNTIFS(Data!N:N,"=P4 - EMPLOI TPS PARTIEL",Data!L:L,"=CH")</f>
        <v>1</v>
      </c>
      <c r="X6" s="45">
        <f>COUNTIFS(Data!N:N,"=P4 - EMPLOI TPS PARTIEL",Data!L:L,"=VA")</f>
        <v>0</v>
      </c>
      <c r="Y6" s="69" t="s">
        <v>90</v>
      </c>
      <c r="Z6" s="111">
        <v>49</v>
      </c>
      <c r="AB6" s="45">
        <f>SUM(AB3:AB5)</f>
        <v>502</v>
      </c>
    </row>
    <row r="7" spans="1:28" ht="16" x14ac:dyDescent="0.2">
      <c r="A7" s="45">
        <f>COUNTIFS(Data!F:F,"=oui")</f>
        <v>150</v>
      </c>
      <c r="B7" s="66" t="s">
        <v>463</v>
      </c>
      <c r="C7" s="80">
        <f t="shared" ca="1" si="0"/>
        <v>45959</v>
      </c>
      <c r="D7" s="81">
        <f ca="1">IF(Data!I7&lt;&gt;"",DATEDIF(Data!I7,C7,"m"),0)</f>
        <v>8</v>
      </c>
      <c r="E7" s="82">
        <f t="shared" ca="1" si="2"/>
        <v>0.66666666666666663</v>
      </c>
      <c r="F7" s="63" t="s">
        <v>23</v>
      </c>
      <c r="H7" s="45">
        <f>COUNTIFS(Data!M:M,"=SR")</f>
        <v>6</v>
      </c>
      <c r="I7" s="81" t="str">
        <f>CONCATENATE(Data!M7,"-",Data!L7)</f>
        <v>CD-GE</v>
      </c>
      <c r="J7" s="45" t="s">
        <v>858</v>
      </c>
      <c r="K7" s="45">
        <f>COUNTIFS(I:I,"=ML-GE")</f>
        <v>11</v>
      </c>
      <c r="L7" s="45" t="s">
        <v>1502</v>
      </c>
      <c r="M7" s="45">
        <f>K29+K30+K31+K32</f>
        <v>1</v>
      </c>
      <c r="N7" s="81">
        <f>IF(Data!P7,DATEDIF(Data!O7,Data!P7,"d"),0)</f>
        <v>0</v>
      </c>
      <c r="O7" s="81">
        <f>IF(Data!M7="CD",1,0)</f>
        <v>1</v>
      </c>
      <c r="P7" s="81">
        <f>IF(Data!M7="CD",0,1)</f>
        <v>0</v>
      </c>
      <c r="Q7" s="81">
        <f>IF(Data!Q7&gt;Data!P7,DATEDIF(Data!P7,Data!Q7,"d"),0)</f>
        <v>5</v>
      </c>
      <c r="R7" s="81">
        <f>IF(Data!R7&gt;Data!Q7,DATEDIF(Data!Q7,Data!R7,"d"),0)</f>
        <v>1</v>
      </c>
      <c r="S7" s="45" t="s">
        <v>64</v>
      </c>
      <c r="T7" s="45">
        <f>COUNTIFS(Data!N:N,"=P5 - EMPLOI TPS PLEIN")</f>
        <v>10</v>
      </c>
      <c r="U7" s="45">
        <f>COUNTIFS(Data!N:N,"=P5 - EMPLOI TPS PLEIN",Data!L:L,"=BA")</f>
        <v>5</v>
      </c>
      <c r="V7" s="45">
        <f>COUNTIFS(Data!N:N,"=P5 - EMPLOI TPS PLEIN",Data!L:L,"=GE")</f>
        <v>4</v>
      </c>
      <c r="W7" s="45">
        <f>COUNTIFS(Data!N:N,"=P5 - EMPLOI TPS PLEIN",Data!L:L,"=CH")</f>
        <v>1</v>
      </c>
      <c r="X7" s="45">
        <f>COUNTIFS(Data!N:N,"=P5 - EMPLOI TPS PLEIN",Data!L:L,"=VA")</f>
        <v>0</v>
      </c>
      <c r="Y7" s="69" t="s">
        <v>1026</v>
      </c>
      <c r="Z7" s="111">
        <v>50</v>
      </c>
    </row>
    <row r="8" spans="1:28" ht="16" x14ac:dyDescent="0.2">
      <c r="A8" s="67">
        <f>nbrrqth/prescrits</f>
        <v>0.25597269624573377</v>
      </c>
      <c r="B8" s="63" t="s">
        <v>464</v>
      </c>
      <c r="C8" s="80">
        <f t="shared" ca="1" si="0"/>
        <v>45959</v>
      </c>
      <c r="D8" s="81">
        <f ca="1">IF(Data!I8&lt;&gt;"",DATEDIF(Data!I8,C8,"m"),0)</f>
        <v>21</v>
      </c>
      <c r="E8" s="82">
        <f t="shared" ca="1" si="2"/>
        <v>1.75</v>
      </c>
      <c r="F8" s="63" t="s">
        <v>24</v>
      </c>
      <c r="H8" s="45">
        <f>COUNTIFS(Data!M:M,"=TR")</f>
        <v>4</v>
      </c>
      <c r="I8" s="81" t="str">
        <f>CONCATENATE(Data!M8,"-",Data!L8)</f>
        <v>CD-VA</v>
      </c>
      <c r="J8" s="45" t="s">
        <v>859</v>
      </c>
      <c r="K8" s="45">
        <f>COUNTIFS(I:I,"=ML-CH")</f>
        <v>7</v>
      </c>
      <c r="M8" s="65">
        <f>SUM(M2:M7)</f>
        <v>586</v>
      </c>
      <c r="N8" s="81">
        <f>IF(Data!P8,DATEDIF(Data!O8,Data!P8,"d"),0)</f>
        <v>3</v>
      </c>
      <c r="O8" s="81">
        <f>IF(Data!M8="CD",1,0)</f>
        <v>1</v>
      </c>
      <c r="P8" s="81">
        <f>IF(Data!M8="CD",0,1)</f>
        <v>0</v>
      </c>
      <c r="Q8" s="81">
        <f>IF(Data!Q8&gt;Data!P8,DATEDIF(Data!P8,Data!Q8,"d"),0)</f>
        <v>4</v>
      </c>
      <c r="R8" s="81">
        <f>IF(Data!R8&gt;Data!Q8,DATEDIF(Data!Q8,Data!R8,"d"),0)</f>
        <v>7</v>
      </c>
      <c r="S8" s="45" t="s">
        <v>65</v>
      </c>
      <c r="T8" s="45">
        <f>COUNTIFS(Data!N:N,"=P6 - FORMATION")</f>
        <v>12</v>
      </c>
      <c r="U8" s="45">
        <f>COUNTIFS(Data!N:N,"=P6 - FORMATION",Data!L:L,"=BA")</f>
        <v>1</v>
      </c>
      <c r="V8" s="45">
        <f>COUNTIFS(Data!N:N,"=P6 - FORMATION",Data!L:L,"=GE")</f>
        <v>7</v>
      </c>
      <c r="W8" s="45">
        <f>COUNTIFS(Data!N:N,"=P6 - FORMATION",Data!L:L,"=CH")</f>
        <v>2</v>
      </c>
      <c r="X8" s="45">
        <f>COUNTIFS(Data!N:N,"=P6 - FORMATION",Data!L:L,"=VA")</f>
        <v>2</v>
      </c>
      <c r="Y8" s="69" t="s">
        <v>1203</v>
      </c>
      <c r="Z8" s="111">
        <v>41</v>
      </c>
    </row>
    <row r="9" spans="1:28" ht="16" x14ac:dyDescent="0.2">
      <c r="A9" s="45">
        <f>COUNTIFS(Data!H:H,"=oui")</f>
        <v>546</v>
      </c>
      <c r="B9" s="63" t="s">
        <v>465</v>
      </c>
      <c r="C9" s="80">
        <f t="shared" ca="1" si="0"/>
        <v>45959</v>
      </c>
      <c r="D9" s="81">
        <f ca="1">IF(Data!I9&lt;&gt;"",DATEDIF(Data!I9,C9,"m"),0)</f>
        <v>13</v>
      </c>
      <c r="E9" s="82">
        <f t="shared" ca="1" si="2"/>
        <v>1.0833333333333333</v>
      </c>
      <c r="F9" s="63" t="s">
        <v>25</v>
      </c>
      <c r="H9" s="45">
        <f>COUNTIFS(Data!M:M,"=SA")</f>
        <v>1</v>
      </c>
      <c r="I9" s="81" t="str">
        <f>CONCATENATE(Data!M9,"-",Data!L9)</f>
        <v>CD-GE</v>
      </c>
      <c r="J9" s="45" t="s">
        <v>870</v>
      </c>
      <c r="K9" s="45">
        <f>COUNTIFS(I:I,"=ML-VA")</f>
        <v>0</v>
      </c>
      <c r="N9" s="81">
        <f>IF(Data!P9,DATEDIF(Data!O9,Data!P9,"d"),0)</f>
        <v>0</v>
      </c>
      <c r="O9" s="81">
        <f>IF(Data!M9="CD",1,0)</f>
        <v>1</v>
      </c>
      <c r="P9" s="81">
        <f>IF(Data!M9="CD",0,1)</f>
        <v>0</v>
      </c>
      <c r="Q9" s="81">
        <f>IF(Data!Q9&gt;Data!P9,DATEDIF(Data!P9,Data!Q9,"d"),0)</f>
        <v>0</v>
      </c>
      <c r="R9" s="81">
        <f>IF(Data!R9&gt;Data!Q9,DATEDIF(Data!Q9,Data!R9,"d"),0)</f>
        <v>0</v>
      </c>
      <c r="S9" s="45" t="s">
        <v>66</v>
      </c>
      <c r="T9" s="45">
        <f>COUNTIFS(Data!N:N,"=P7 - CREATION ENTREPRISE")</f>
        <v>8</v>
      </c>
      <c r="U9" s="45">
        <f>COUNTIFS(Data!N:N,"=P7 - CREATION ENTREPRISE",Data!L:L,"=BA")</f>
        <v>6</v>
      </c>
      <c r="V9" s="45">
        <f>COUNTIFS(Data!N:N,"=P7 - CREATION ENTREPRISE",Data!L:L,"=GE")</f>
        <v>2</v>
      </c>
      <c r="W9" s="45">
        <f>COUNTIFS(Data!N:N,"=P7 - CREATION ENTREPRISE",Data!L:L,"=CH")</f>
        <v>0</v>
      </c>
      <c r="X9" s="45">
        <f>COUNTIFS(Data!N:N,"=P7 - CREATION ENTREPRISE",Data!L:L,"=VA")</f>
        <v>0</v>
      </c>
      <c r="Y9" s="69" t="s">
        <v>1204</v>
      </c>
      <c r="Z9" s="111">
        <v>35</v>
      </c>
    </row>
    <row r="10" spans="1:28" ht="16" x14ac:dyDescent="0.2">
      <c r="A10" s="67">
        <f>nbrrsa/prescrits</f>
        <v>0.93174061433447097</v>
      </c>
      <c r="B10" s="65">
        <f>SUM(B2:B5)</f>
        <v>586</v>
      </c>
      <c r="C10" s="80">
        <f t="shared" ca="1" si="0"/>
        <v>45959</v>
      </c>
      <c r="D10" s="81">
        <f ca="1">IF(Data!I10&lt;&gt;"",DATEDIF(Data!I10,C10,"m"),0)</f>
        <v>79</v>
      </c>
      <c r="E10" s="82">
        <f t="shared" ca="1" si="2"/>
        <v>6.583333333333333</v>
      </c>
      <c r="F10" s="63" t="s">
        <v>26</v>
      </c>
      <c r="H10" s="45" t="s">
        <v>6</v>
      </c>
      <c r="I10" s="81" t="str">
        <f>CONCATENATE(Data!M10,"-",Data!L10)</f>
        <v>CD-GE</v>
      </c>
      <c r="J10" s="45" t="s">
        <v>860</v>
      </c>
      <c r="K10" s="45">
        <f>COUNTIFS(I:I,"=PE-BA")</f>
        <v>0</v>
      </c>
      <c r="N10" s="81">
        <f>IF(Data!P10,DATEDIF(Data!O10,Data!P10,"d"),0)</f>
        <v>7</v>
      </c>
      <c r="O10" s="81">
        <f>IF(Data!M10="CD",1,0)</f>
        <v>1</v>
      </c>
      <c r="P10" s="81">
        <f>IF(Data!M10="CD",0,1)</f>
        <v>0</v>
      </c>
      <c r="Q10" s="81">
        <f>IF(Data!Q10&gt;Data!P10,DATEDIF(Data!P10,Data!Q10,"d"),0)</f>
        <v>0</v>
      </c>
      <c r="R10" s="81">
        <f>IF(Data!R10&gt;Data!Q10,DATEDIF(Data!Q10,Data!R10,"d"),0)</f>
        <v>0</v>
      </c>
      <c r="S10" s="45" t="s">
        <v>67</v>
      </c>
      <c r="T10" s="45">
        <f>COUNTIFS(Data!N:N,"=P8 - BENEVOLAT")</f>
        <v>4</v>
      </c>
      <c r="U10" s="45">
        <f>COUNTIFS(Data!N:N,"=P8 - BENEVOLAT",Data!L:L,"=BA")</f>
        <v>4</v>
      </c>
      <c r="V10" s="45">
        <f>COUNTIFS(Data!N:N,"=P8 - BENEVOLAT",Data!L:L,"=GE")</f>
        <v>0</v>
      </c>
      <c r="W10" s="45">
        <f>COUNTIFS(Data!N:N,"=P8 - BENEVOLAT",Data!L:L,"=CH")</f>
        <v>0</v>
      </c>
      <c r="X10" s="45">
        <f>COUNTIFS(Data!N:N,"=P8 - BENEVOLAT",Data!L:L,"=VA")</f>
        <v>0</v>
      </c>
      <c r="Y10" s="69" t="s">
        <v>1315</v>
      </c>
      <c r="Z10" s="111">
        <v>43</v>
      </c>
    </row>
    <row r="11" spans="1:28" ht="16" x14ac:dyDescent="0.2">
      <c r="A11" s="67"/>
      <c r="C11" s="80">
        <f t="shared" ca="1" si="0"/>
        <v>45959</v>
      </c>
      <c r="D11" s="81">
        <f ca="1">IF(Data!I11&lt;&gt;"",DATEDIF(Data!I11,C11,"m"),0)</f>
        <v>79</v>
      </c>
      <c r="E11" s="82">
        <f t="shared" ca="1" si="2"/>
        <v>6.583333333333333</v>
      </c>
      <c r="F11" s="63" t="s">
        <v>27</v>
      </c>
      <c r="H11" s="45" t="s">
        <v>1093</v>
      </c>
      <c r="I11" s="81" t="str">
        <f>CONCATENATE(Data!M11,"-",Data!L11)</f>
        <v>CD-GE</v>
      </c>
      <c r="J11" s="45" t="s">
        <v>871</v>
      </c>
      <c r="K11" s="45">
        <f>COUNTIFS(I:I,"=PE-GE")</f>
        <v>0</v>
      </c>
      <c r="N11" s="81">
        <f>IF(Data!P11,DATEDIF(Data!O11,Data!P11,"d"),0)</f>
        <v>0</v>
      </c>
      <c r="O11" s="81">
        <f>IF(Data!M11="CD",1,0)</f>
        <v>1</v>
      </c>
      <c r="P11" s="81">
        <f>IF(Data!M11="CD",0,1)</f>
        <v>0</v>
      </c>
      <c r="Q11" s="81">
        <f>IF(Data!Q11&gt;Data!P11,DATEDIF(Data!P11,Data!Q11,"d"),0)</f>
        <v>0</v>
      </c>
      <c r="R11" s="81">
        <f>IF(Data!R11&gt;Data!Q11,DATEDIF(Data!Q11,Data!R11,"d"),0)</f>
        <v>0</v>
      </c>
      <c r="S11" s="45" t="s">
        <v>487</v>
      </c>
      <c r="T11" s="45">
        <f>COUNTIFS(Data!N:N,"=P9 - PRISE DE DROITS A LA RETRAITE")</f>
        <v>5</v>
      </c>
      <c r="U11" s="45">
        <f>COUNTIFS(Data!N:N,"=P9 - PRISE DE DROITS A LA RETRAITE",Data!L:L,"=BA")</f>
        <v>3</v>
      </c>
      <c r="V11" s="45">
        <f>COUNTIFS(Data!N:N,"=P9 - PRISE DE DROITS A LA RETRAITE",Data!L:L,"=GE")</f>
        <v>1</v>
      </c>
      <c r="W11" s="45">
        <f>COUNTIFS(Data!N:N,"=P9 - PRISE DE DROITS A LA RETRAITE",Data!L:L,"=CH")</f>
        <v>0</v>
      </c>
      <c r="X11" s="45">
        <f>COUNTIFS(Data!N:N,"=P9 - PRISE DE DROITS A LA RETRAITE",Data!L:L,"=VA")</f>
        <v>1</v>
      </c>
      <c r="Y11" s="69" t="s">
        <v>1336</v>
      </c>
      <c r="Z11" s="111">
        <v>24</v>
      </c>
    </row>
    <row r="12" spans="1:28" ht="16" x14ac:dyDescent="0.2">
      <c r="A12" s="67"/>
      <c r="B12" s="45"/>
      <c r="C12" s="80">
        <f t="shared" ca="1" si="0"/>
        <v>45959</v>
      </c>
      <c r="D12" s="81">
        <f ca="1">IF(Data!I12&lt;&gt;"",DATEDIF(Data!I12,C12,"m"),0)</f>
        <v>121</v>
      </c>
      <c r="E12" s="82">
        <f t="shared" ca="1" si="2"/>
        <v>10.083333333333334</v>
      </c>
      <c r="H12" s="45" t="s">
        <v>9</v>
      </c>
      <c r="I12" s="81" t="str">
        <f>CONCATENATE(Data!M12,"-",Data!L12)</f>
        <v>CD-CH</v>
      </c>
      <c r="J12" s="45" t="s">
        <v>861</v>
      </c>
      <c r="K12" s="45">
        <f>COUNTIFS(I:I,"=PE-CH")</f>
        <v>0</v>
      </c>
      <c r="N12" s="81">
        <f>IF(Data!P12,DATEDIF(Data!O12,Data!P12,"d"),0)</f>
        <v>0</v>
      </c>
      <c r="O12" s="81">
        <f>IF(Data!M12="CD",1,0)</f>
        <v>1</v>
      </c>
      <c r="P12" s="81">
        <f>IF(Data!M12="CD",0,1)</f>
        <v>0</v>
      </c>
      <c r="Q12" s="81">
        <f>IF(Data!Q12&gt;Data!P12,DATEDIF(Data!P12,Data!Q12,"d"),0)</f>
        <v>0</v>
      </c>
      <c r="R12" s="81">
        <f>IF(Data!R12&gt;Data!Q12,DATEDIF(Data!Q12,Data!R12,"d"),0)</f>
        <v>0</v>
      </c>
      <c r="S12" s="45" t="s">
        <v>357</v>
      </c>
      <c r="T12" s="45">
        <f>COUNTIFS(Data!N:N,"=P10- PENSION INVALIDITE CPAM")</f>
        <v>0</v>
      </c>
      <c r="Y12" s="69" t="s">
        <v>1428</v>
      </c>
      <c r="Z12" s="111">
        <v>43</v>
      </c>
    </row>
    <row r="13" spans="1:28" ht="16" x14ac:dyDescent="0.2">
      <c r="A13" s="67"/>
      <c r="B13" s="45"/>
      <c r="C13" s="80">
        <f t="shared" ca="1" si="0"/>
        <v>45959</v>
      </c>
      <c r="D13" s="81">
        <f ca="1">IF(Data!I13&lt;&gt;"",DATEDIF(Data!I13,C13,"m"),0)</f>
        <v>15</v>
      </c>
      <c r="E13" s="82">
        <f t="shared" ca="1" si="2"/>
        <v>1.25</v>
      </c>
      <c r="H13" s="45" t="s">
        <v>396</v>
      </c>
      <c r="I13" s="81" t="str">
        <f>CONCATENATE(Data!M13,"-",Data!L13)</f>
        <v>CD-BA</v>
      </c>
      <c r="J13" s="45" t="s">
        <v>862</v>
      </c>
      <c r="K13" s="45">
        <f>COUNTIFS(I:I,"=PE-VA")</f>
        <v>0</v>
      </c>
      <c r="N13" s="81">
        <f>IF(Data!P13,DATEDIF(Data!O13,Data!P13,"d"),0)</f>
        <v>2</v>
      </c>
      <c r="O13" s="81">
        <f>IF(Data!M13="CD",1,0)</f>
        <v>1</v>
      </c>
      <c r="P13" s="81">
        <f>IF(Data!M13="CD",0,1)</f>
        <v>0</v>
      </c>
      <c r="Q13" s="81">
        <f>IF(Data!Q13&gt;Data!P13,DATEDIF(Data!P13,Data!Q13,"d"),0)</f>
        <v>3</v>
      </c>
      <c r="R13" s="81">
        <f>IF(Data!R13&gt;Data!Q13,DATEDIF(Data!Q13,Data!R13,"d"),0)</f>
        <v>2</v>
      </c>
      <c r="S13" s="45" t="s">
        <v>225</v>
      </c>
      <c r="T13" s="45">
        <f>COUNTIFS(Data!N:N,"=A PRECISER LORS DU RDV INDIV CIP")</f>
        <v>35</v>
      </c>
      <c r="Y13" s="69" t="s">
        <v>696</v>
      </c>
      <c r="Z13" s="111">
        <v>50</v>
      </c>
    </row>
    <row r="14" spans="1:28" ht="16" x14ac:dyDescent="0.2">
      <c r="A14" s="67"/>
      <c r="B14" s="45"/>
      <c r="C14" s="80">
        <f t="shared" ca="1" si="0"/>
        <v>45959</v>
      </c>
      <c r="D14" s="81">
        <f ca="1">IF(Data!I14&lt;&gt;"",DATEDIF(Data!I14,C14,"m"),0)</f>
        <v>6</v>
      </c>
      <c r="E14" s="82">
        <f t="shared" ca="1" si="2"/>
        <v>0.5</v>
      </c>
      <c r="H14" s="45" t="s">
        <v>885</v>
      </c>
      <c r="I14" s="81" t="str">
        <f>CONCATENATE(Data!M14,"-",Data!L14)</f>
        <v>CD-CH</v>
      </c>
      <c r="J14" s="45" t="s">
        <v>867</v>
      </c>
      <c r="K14" s="45">
        <f>COUNTIFS(I:I,"=CI-BA")</f>
        <v>29</v>
      </c>
      <c r="N14" s="81">
        <f>IF(Data!P14,DATEDIF(Data!O14,Data!P14,"d"),0)</f>
        <v>7</v>
      </c>
      <c r="O14" s="81">
        <f>IF(Data!M14="CD",1,0)</f>
        <v>1</v>
      </c>
      <c r="P14" s="81">
        <f>IF(Data!M14="CD",0,1)</f>
        <v>0</v>
      </c>
      <c r="Q14" s="81">
        <f>IF(Data!Q14&gt;Data!P14,DATEDIF(Data!P14,Data!Q14,"d"),0)</f>
        <v>0</v>
      </c>
      <c r="R14" s="81">
        <f>IF(Data!R14&gt;Data!Q14,DATEDIF(Data!Q14,Data!R14,"d"),0)</f>
        <v>8</v>
      </c>
      <c r="Y14" s="69" t="s">
        <v>697</v>
      </c>
      <c r="Z14" s="111">
        <v>82</v>
      </c>
    </row>
    <row r="15" spans="1:28" ht="16" x14ac:dyDescent="0.2">
      <c r="A15" s="45">
        <f>COUNTIFS(Data!G:G,"=oui")</f>
        <v>348</v>
      </c>
      <c r="B15" s="45"/>
      <c r="C15" s="80">
        <f t="shared" ca="1" si="0"/>
        <v>45959</v>
      </c>
      <c r="D15" s="81">
        <f ca="1">IF(Data!I15&lt;&gt;"",DATEDIF(Data!I15,C15,"m"),0)</f>
        <v>27</v>
      </c>
      <c r="E15" s="82">
        <f t="shared" ca="1" si="2"/>
        <v>2.25</v>
      </c>
      <c r="H15" s="45" t="s">
        <v>991</v>
      </c>
      <c r="I15" s="81" t="str">
        <f>CONCATENATE(Data!M15,"-",Data!L15)</f>
        <v>CD-BA</v>
      </c>
      <c r="J15" s="45" t="s">
        <v>868</v>
      </c>
      <c r="K15" s="45">
        <f>COUNTIFS(I:I,"=CI-GE")</f>
        <v>27</v>
      </c>
      <c r="N15" s="81">
        <f>IF(Data!P15,DATEDIF(Data!O15,Data!P15,"d"),0)</f>
        <v>8</v>
      </c>
      <c r="O15" s="81">
        <f>IF(Data!M15="CD",1,0)</f>
        <v>1</v>
      </c>
      <c r="P15" s="81">
        <f>IF(Data!M15="CD",0,1)</f>
        <v>0</v>
      </c>
      <c r="Q15" s="81">
        <f>IF(Data!Q15&gt;Data!P15,DATEDIF(Data!P15,Data!Q15,"d"),0)</f>
        <v>1</v>
      </c>
      <c r="R15" s="81">
        <f>IF(Data!R15&gt;Data!Q15,DATEDIF(Data!Q15,Data!R15,"d"),0)</f>
        <v>4</v>
      </c>
      <c r="Y15" s="69" t="s">
        <v>698</v>
      </c>
      <c r="Z15" s="111">
        <v>45</v>
      </c>
    </row>
    <row r="16" spans="1:28" ht="16" x14ac:dyDescent="0.2">
      <c r="A16" s="67">
        <f>nbrpe/prescrits</f>
        <v>0.59385665529010234</v>
      </c>
      <c r="B16" s="45"/>
      <c r="C16" s="80">
        <f t="shared" ca="1" si="0"/>
        <v>45959</v>
      </c>
      <c r="D16" s="81">
        <f ca="1">IF(Data!I16&lt;&gt;"",DATEDIF(Data!I16,C16,"m"),0)</f>
        <v>11</v>
      </c>
      <c r="E16" s="82">
        <f t="shared" ca="1" si="2"/>
        <v>0.91666666666666663</v>
      </c>
      <c r="H16" s="45" t="s">
        <v>1281</v>
      </c>
      <c r="I16" s="81" t="str">
        <f>CONCATENATE(Data!M16,"-",Data!L16)</f>
        <v>CI-BA</v>
      </c>
      <c r="J16" s="45" t="s">
        <v>869</v>
      </c>
      <c r="K16" s="45">
        <f>COUNTIFS(I:I,"=CI-VA")</f>
        <v>10</v>
      </c>
      <c r="N16" s="81">
        <f>IF(Data!P16,DATEDIF(Data!O16,Data!P16,"d"),0)</f>
        <v>0</v>
      </c>
      <c r="O16" s="81">
        <f>IF(Data!M16="CD",1,0)</f>
        <v>0</v>
      </c>
      <c r="P16" s="81">
        <f>IF(Data!M16="CD",0,1)</f>
        <v>1</v>
      </c>
      <c r="Q16" s="81">
        <f>IF(Data!Q16&gt;Data!P16,DATEDIF(Data!P16,Data!Q16,"d"),0)</f>
        <v>0</v>
      </c>
      <c r="R16" s="81">
        <f>IF(Data!R16&gt;Data!Q16,DATEDIF(Data!Q16,Data!R16,"d"),0)</f>
        <v>0</v>
      </c>
      <c r="Y16" s="69" t="s">
        <v>693</v>
      </c>
      <c r="Z16" s="111">
        <v>586</v>
      </c>
    </row>
    <row r="17" spans="1:26" ht="16" x14ac:dyDescent="0.2">
      <c r="B17" s="45"/>
      <c r="C17" s="80">
        <f t="shared" ca="1" si="0"/>
        <v>45959</v>
      </c>
      <c r="D17" s="81">
        <f ca="1">IF(Data!I17&lt;&gt;"",DATEDIF(Data!I17,C17,"m"),0)</f>
        <v>1</v>
      </c>
      <c r="E17" s="82">
        <f t="shared" ca="1" si="2"/>
        <v>8.3333333333333329E-2</v>
      </c>
      <c r="H17" s="45" t="s">
        <v>1502</v>
      </c>
      <c r="I17" s="81" t="str">
        <f>CONCATENATE(Data!M17,"-",Data!L17)</f>
        <v>CD-GE</v>
      </c>
      <c r="J17" s="45" t="s">
        <v>921</v>
      </c>
      <c r="K17" s="45">
        <f>COUNTIFS(I:I,"=AI-BA")</f>
        <v>0</v>
      </c>
      <c r="N17" s="81">
        <f>IF(Data!P17,DATEDIF(Data!O17,Data!P17,"d"),0)</f>
        <v>0</v>
      </c>
      <c r="O17" s="81">
        <f>IF(Data!M17="CD",1,0)</f>
        <v>1</v>
      </c>
      <c r="P17" s="81">
        <f>IF(Data!M17="CD",0,1)</f>
        <v>0</v>
      </c>
      <c r="Q17" s="81">
        <f>IF(Data!Q17&gt;Data!P17,DATEDIF(Data!P17,Data!Q17,"d"),0)</f>
        <v>0</v>
      </c>
      <c r="R17" s="81">
        <f>IF(Data!R17&gt;Data!Q17,DATEDIF(Data!Q17,Data!R17,"d"),0)</f>
        <v>0</v>
      </c>
      <c r="Y17"/>
      <c r="Z17"/>
    </row>
    <row r="18" spans="1:26" ht="16" x14ac:dyDescent="0.2">
      <c r="A18" s="70">
        <f>AVERAGEIFS(N:N,O:O,"&gt;0")</f>
        <v>17.081932773109244</v>
      </c>
      <c r="B18" s="45"/>
      <c r="C18" s="80">
        <f t="shared" ca="1" si="0"/>
        <v>45959</v>
      </c>
      <c r="D18" s="81">
        <f ca="1">IF(Data!I18&lt;&gt;"",DATEDIF(Data!I18,C18,"m"),0)</f>
        <v>41</v>
      </c>
      <c r="E18" s="82">
        <f t="shared" ca="1" si="2"/>
        <v>3.4166666666666665</v>
      </c>
      <c r="H18" s="65">
        <f>SUM(H2:H9)</f>
        <v>586</v>
      </c>
      <c r="I18" s="81" t="str">
        <f>CONCATENATE(Data!M18,"-",Data!L18)</f>
        <v>CD-CH</v>
      </c>
      <c r="J18" s="45" t="s">
        <v>922</v>
      </c>
      <c r="K18" s="45">
        <f>COUNTIFS(I:I,"=AI-GE")</f>
        <v>11</v>
      </c>
      <c r="N18" s="81">
        <f>IF(Data!P18,DATEDIF(Data!O18,Data!P18,"d"),0)</f>
        <v>0</v>
      </c>
      <c r="O18" s="81">
        <f>IF(Data!M18="CD",1,0)</f>
        <v>1</v>
      </c>
      <c r="P18" s="81">
        <f>IF(Data!M18="CD",0,1)</f>
        <v>0</v>
      </c>
      <c r="Q18" s="81">
        <f>IF(Data!Q18&gt;Data!P18,DATEDIF(Data!P18,Data!Q18,"d"),0)</f>
        <v>0</v>
      </c>
      <c r="R18" s="81">
        <f>IF(Data!R18&gt;Data!Q18,DATEDIF(Data!Q18,Data!R18,"d"),0)</f>
        <v>0</v>
      </c>
      <c r="X18"/>
      <c r="Y18"/>
      <c r="Z18"/>
    </row>
    <row r="19" spans="1:26" ht="16" x14ac:dyDescent="0.2">
      <c r="A19" s="70">
        <f>AVERAGEIFS(N:N,P:P,"&gt;0")</f>
        <v>2.2717497556207236</v>
      </c>
      <c r="B19" s="45"/>
      <c r="C19" s="80">
        <f t="shared" ca="1" si="0"/>
        <v>45959</v>
      </c>
      <c r="D19" s="81">
        <f ca="1">IF(Data!I19&lt;&gt;"",DATEDIF(Data!I19,C19,"m"),0)</f>
        <v>129</v>
      </c>
      <c r="E19" s="82">
        <f t="shared" ca="1" si="2"/>
        <v>10.75</v>
      </c>
      <c r="I19" s="81" t="str">
        <f>CONCATENATE(Data!M19,"-",Data!L19)</f>
        <v>CD-CH</v>
      </c>
      <c r="J19" s="45" t="s">
        <v>923</v>
      </c>
      <c r="K19" s="45">
        <f>COUNTIFS(I:I,"=AI-CH")</f>
        <v>0</v>
      </c>
      <c r="N19" s="81">
        <f>IF(Data!P19,DATEDIF(Data!O19,Data!P19,"d"),0)</f>
        <v>0</v>
      </c>
      <c r="O19" s="81">
        <f>IF(Data!M19="CD",1,0)</f>
        <v>1</v>
      </c>
      <c r="P19" s="81">
        <f>IF(Data!M19="CD",0,1)</f>
        <v>0</v>
      </c>
      <c r="Q19" s="81">
        <f>IF(Data!Q19&gt;Data!P19,DATEDIF(Data!P19,Data!Q19,"d"),0)</f>
        <v>0</v>
      </c>
      <c r="R19" s="81">
        <f>IF(Data!R19&gt;Data!Q19,DATEDIF(Data!Q19,Data!R19,"d"),0)</f>
        <v>0</v>
      </c>
      <c r="X19"/>
      <c r="Y19"/>
      <c r="Z19"/>
    </row>
    <row r="20" spans="1:26" ht="16" x14ac:dyDescent="0.2">
      <c r="A20" s="70">
        <f>ROUND(AVERAGEIFS(Q:Q,Q:Q,"&gt;0"),0)</f>
        <v>10</v>
      </c>
      <c r="B20" s="45"/>
      <c r="C20" s="80">
        <f t="shared" ca="1" si="0"/>
        <v>45959</v>
      </c>
      <c r="D20" s="81">
        <f ca="1">IF(Data!I20&lt;&gt;"",DATEDIF(Data!I20,C20,"m"),0)</f>
        <v>99</v>
      </c>
      <c r="E20" s="82">
        <f t="shared" ca="1" si="2"/>
        <v>8.25</v>
      </c>
      <c r="I20" s="81" t="str">
        <f>CONCATENATE(Data!M20,"-",Data!L20)</f>
        <v>CD-BA</v>
      </c>
      <c r="J20" s="45" t="s">
        <v>924</v>
      </c>
      <c r="K20" s="45">
        <f>COUNTIFS(I:I,"=AI-VA")</f>
        <v>0</v>
      </c>
      <c r="N20" s="81">
        <f>IF(Data!P20,DATEDIF(Data!O20,Data!P20,"d"),0)</f>
        <v>3</v>
      </c>
      <c r="O20" s="81">
        <f>IF(Data!M20="CD",1,0)</f>
        <v>1</v>
      </c>
      <c r="P20" s="81">
        <f>IF(Data!M20="CD",0,1)</f>
        <v>0</v>
      </c>
      <c r="Q20" s="81">
        <f>IF(Data!Q20&gt;Data!P20,DATEDIF(Data!P20,Data!Q20,"d"),0)</f>
        <v>3</v>
      </c>
      <c r="R20" s="81">
        <f>IF(Data!R20&gt;Data!Q20,DATEDIF(Data!Q20,Data!R20,"d"),0)</f>
        <v>0</v>
      </c>
      <c r="S20" s="45" t="s">
        <v>60</v>
      </c>
      <c r="T20" s="45">
        <f>COUNTIFS(Data!U:U,"=ABANDON DE LA MESURE")</f>
        <v>23</v>
      </c>
      <c r="X20"/>
      <c r="Y20"/>
      <c r="Z20"/>
    </row>
    <row r="21" spans="1:26" ht="16" x14ac:dyDescent="0.2">
      <c r="A21" s="70">
        <f>ROUND(AVERAGEIFS(R:R,R:R,"&gt;0"),0)</f>
        <v>17</v>
      </c>
      <c r="B21" s="45"/>
      <c r="C21" s="80">
        <f t="shared" ca="1" si="0"/>
        <v>45959</v>
      </c>
      <c r="D21" s="81">
        <f ca="1">IF(Data!I21&lt;&gt;"",DATEDIF(Data!I21,C21,"m"),0)</f>
        <v>123</v>
      </c>
      <c r="E21" s="82">
        <f t="shared" ca="1" si="2"/>
        <v>10.25</v>
      </c>
      <c r="I21" s="81" t="str">
        <f>CONCATENATE(Data!M21,"-",Data!L21)</f>
        <v>CD-VA</v>
      </c>
      <c r="J21" s="45" t="s">
        <v>987</v>
      </c>
      <c r="K21" s="45">
        <f>COUNTIFS(I:I,"=SR-BA")</f>
        <v>2</v>
      </c>
      <c r="N21" s="81">
        <f>IF(Data!P21,DATEDIF(Data!O21,Data!P21,"d"),0)</f>
        <v>2</v>
      </c>
      <c r="O21" s="81">
        <f>IF(Data!M21="CD",1,0)</f>
        <v>1</v>
      </c>
      <c r="P21" s="81">
        <f>IF(Data!M21="CD",0,1)</f>
        <v>0</v>
      </c>
      <c r="Q21" s="81">
        <f>IF(Data!Q21&gt;Data!P21,DATEDIF(Data!P21,Data!Q21,"d"),0)</f>
        <v>6</v>
      </c>
      <c r="R21" s="81">
        <f>IF(Data!R21&gt;Data!Q21,DATEDIF(Data!Q21,Data!R21,"d"),0)</f>
        <v>9</v>
      </c>
      <c r="S21" s="45" t="s">
        <v>413</v>
      </c>
      <c r="T21" s="45">
        <f>COUNTIFS(Data!U:U,"=REFUS DE LA MESURE- PAS DE REPONSE AUX SOLLICITATIONS DE DEMARRAGE")</f>
        <v>0</v>
      </c>
      <c r="X21"/>
      <c r="Y21"/>
      <c r="Z21"/>
    </row>
    <row r="22" spans="1:26" ht="16" x14ac:dyDescent="0.2">
      <c r="B22" s="45"/>
      <c r="C22" s="80">
        <f t="shared" ca="1" si="0"/>
        <v>45959</v>
      </c>
      <c r="D22" s="81">
        <f ca="1">IF(Data!I22&lt;&gt;"",DATEDIF(Data!I22,C22,"m"),0)</f>
        <v>14</v>
      </c>
      <c r="E22" s="82">
        <f t="shared" ca="1" si="2"/>
        <v>1.1666666666666667</v>
      </c>
      <c r="I22" s="81" t="str">
        <f>CONCATENATE(Data!M22,"-",Data!L22)</f>
        <v>IF-CH</v>
      </c>
      <c r="J22" s="45" t="s">
        <v>988</v>
      </c>
      <c r="K22" s="45">
        <f>COUNTIFS(I:I,"=SR-GE")</f>
        <v>2</v>
      </c>
      <c r="N22" s="81">
        <f>IF(Data!P22,DATEDIF(Data!O22,Data!P22,"d"),0)</f>
        <v>11</v>
      </c>
      <c r="O22" s="81">
        <f>IF(Data!M22="CD",1,0)</f>
        <v>0</v>
      </c>
      <c r="P22" s="81">
        <f>IF(Data!M22="CD",0,1)</f>
        <v>1</v>
      </c>
      <c r="Q22" s="81">
        <f>IF(Data!Q22&gt;Data!P22,DATEDIF(Data!P22,Data!Q22,"d"),0)</f>
        <v>3</v>
      </c>
      <c r="R22" s="81">
        <f>IF(Data!R22&gt;Data!Q22,DATEDIF(Data!Q22,Data!R22,"d"),0)</f>
        <v>9</v>
      </c>
      <c r="S22" s="45" t="s">
        <v>116</v>
      </c>
      <c r="T22" s="45">
        <f>COUNTIFS(Data!U:U,"=CANDIDATURE PSE REFUSEE")</f>
        <v>2</v>
      </c>
      <c r="X22"/>
      <c r="Y22"/>
      <c r="Z22"/>
    </row>
    <row r="23" spans="1:26" ht="16" x14ac:dyDescent="0.2">
      <c r="B23" s="45"/>
      <c r="C23" s="80">
        <f t="shared" ca="1" si="0"/>
        <v>45959</v>
      </c>
      <c r="D23" s="81">
        <f ca="1">IF(Data!I23&lt;&gt;"",DATEDIF(Data!I23,C23,"m"),0)</f>
        <v>99</v>
      </c>
      <c r="E23" s="82">
        <f t="shared" ca="1" si="2"/>
        <v>8.25</v>
      </c>
      <c r="I23" s="81" t="str">
        <f>CONCATENATE(Data!M23,"-",Data!L23)</f>
        <v>CD-BA</v>
      </c>
      <c r="J23" s="45" t="s">
        <v>989</v>
      </c>
      <c r="K23" s="45">
        <f>COUNTIFS(I:I,"=SR-CH")</f>
        <v>1</v>
      </c>
      <c r="N23" s="81">
        <f>IF(Data!P23,DATEDIF(Data!O23,Data!P23,"d"),0)</f>
        <v>0</v>
      </c>
      <c r="O23" s="81">
        <f>IF(Data!M23="CD",1,0)</f>
        <v>1</v>
      </c>
      <c r="P23" s="81">
        <f>IF(Data!M23="CD",0,1)</f>
        <v>0</v>
      </c>
      <c r="Q23" s="81">
        <f>IF(Data!Q23&gt;Data!P23,DATEDIF(Data!P23,Data!Q23,"d"),0)</f>
        <v>0</v>
      </c>
      <c r="R23" s="81">
        <f>IF(Data!R23&gt;Data!Q23,DATEDIF(Data!Q23,Data!R23,"d"),0)</f>
        <v>0</v>
      </c>
      <c r="S23" s="45" t="s">
        <v>67</v>
      </c>
      <c r="T23" s="45">
        <f>COUNTIFS(Data!U:U,"=BENEVOLAT")</f>
        <v>5</v>
      </c>
      <c r="X23"/>
      <c r="Y23"/>
      <c r="Z23"/>
    </row>
    <row r="24" spans="1:26" ht="16" x14ac:dyDescent="0.2">
      <c r="B24" s="45"/>
      <c r="C24" s="80">
        <f t="shared" ca="1" si="0"/>
        <v>45959</v>
      </c>
      <c r="D24" s="81">
        <f ca="1">IF(Data!I24&lt;&gt;"",DATEDIF(Data!I24,C24,"m"),0)</f>
        <v>3</v>
      </c>
      <c r="E24" s="82">
        <f t="shared" ca="1" si="2"/>
        <v>0.25</v>
      </c>
      <c r="I24" s="81" t="str">
        <f>CONCATENATE(Data!M24,"-",Data!L24)</f>
        <v>CD-GE</v>
      </c>
      <c r="J24" s="45" t="s">
        <v>990</v>
      </c>
      <c r="K24" s="45">
        <f>COUNTIFS(I:I,"=SR-VA")</f>
        <v>1</v>
      </c>
      <c r="N24" s="81">
        <f>IF(Data!P24,DATEDIF(Data!O24,Data!P24,"d"),0)</f>
        <v>13</v>
      </c>
      <c r="O24" s="81">
        <f>IF(Data!M24="CD",1,0)</f>
        <v>1</v>
      </c>
      <c r="P24" s="81">
        <f>IF(Data!M24="CD",0,1)</f>
        <v>0</v>
      </c>
      <c r="Q24" s="81">
        <f>IF(Data!Q24&gt;Data!P24,DATEDIF(Data!P24,Data!Q24,"d"),0)</f>
        <v>1</v>
      </c>
      <c r="R24" s="81">
        <f>IF(Data!R24&gt;Data!Q24,DATEDIF(Data!Q24,Data!R24,"d"),0)</f>
        <v>11</v>
      </c>
      <c r="S24" s="45" t="s">
        <v>326</v>
      </c>
      <c r="T24" s="45">
        <f>COUNTIFS(Data!U:U,"=CDD inférieur à 6 mois")</f>
        <v>1</v>
      </c>
      <c r="X24"/>
      <c r="Y24"/>
      <c r="Z24"/>
    </row>
    <row r="25" spans="1:26" ht="16" x14ac:dyDescent="0.2">
      <c r="B25" s="45"/>
      <c r="C25" s="80">
        <f t="shared" ca="1" si="0"/>
        <v>45959</v>
      </c>
      <c r="D25" s="81">
        <f ca="1">IF(Data!I25&lt;&gt;"",DATEDIF(Data!I25,C25,"m"),0)</f>
        <v>27</v>
      </c>
      <c r="E25" s="82">
        <f t="shared" ca="1" si="2"/>
        <v>2.25</v>
      </c>
      <c r="I25" s="81" t="str">
        <f>CONCATENATE(Data!M25,"-",Data!L25)</f>
        <v>CD-BA</v>
      </c>
      <c r="J25" s="45" t="s">
        <v>1205</v>
      </c>
      <c r="K25" s="45">
        <f>COUNTIFS(I:I,"=IF-BA")</f>
        <v>0</v>
      </c>
      <c r="N25" s="81">
        <f>IF(Data!P25,DATEDIF(Data!O25,Data!P25,"d"),0)</f>
        <v>0</v>
      </c>
      <c r="O25" s="81">
        <f>IF(Data!M25="CD",1,0)</f>
        <v>1</v>
      </c>
      <c r="P25" s="81">
        <f>IF(Data!M25="CD",0,1)</f>
        <v>0</v>
      </c>
      <c r="Q25" s="81">
        <f>IF(Data!Q25&gt;Data!P25,DATEDIF(Data!P25,Data!Q25,"d"),0)</f>
        <v>0</v>
      </c>
      <c r="R25" s="81">
        <f>IF(Data!R25&gt;Data!Q25,DATEDIF(Data!Q25,Data!R25,"d"),0)</f>
        <v>11</v>
      </c>
      <c r="S25" s="45" t="s">
        <v>325</v>
      </c>
      <c r="T25" s="45">
        <f>COUNTIFS(Data!U:U,"=CDD supérieur ou égal à 6 mois")</f>
        <v>0</v>
      </c>
      <c r="X25"/>
      <c r="Y25"/>
      <c r="Z25"/>
    </row>
    <row r="26" spans="1:26" ht="16" x14ac:dyDescent="0.2">
      <c r="B26" s="45"/>
      <c r="C26" s="80">
        <f t="shared" ca="1" si="0"/>
        <v>45959</v>
      </c>
      <c r="D26" s="81">
        <f ca="1">IF(Data!I26&lt;&gt;"",DATEDIF(Data!I26,C26,"m"),0)</f>
        <v>47</v>
      </c>
      <c r="E26" s="82">
        <f t="shared" ca="1" si="2"/>
        <v>3.9166666666666665</v>
      </c>
      <c r="I26" s="81" t="str">
        <f>CONCATENATE(Data!M26,"-",Data!L26)</f>
        <v>CD-GE</v>
      </c>
      <c r="J26" s="45" t="s">
        <v>1206</v>
      </c>
      <c r="K26" s="45">
        <f>COUNTIFS(I:I,"=IF-GE")</f>
        <v>0</v>
      </c>
      <c r="N26" s="81">
        <f>IF(Data!P26,DATEDIF(Data!O26,Data!P26,"d"),0)</f>
        <v>0</v>
      </c>
      <c r="O26" s="81">
        <f>IF(Data!M26="CD",1,0)</f>
        <v>1</v>
      </c>
      <c r="P26" s="81">
        <f>IF(Data!M26="CD",0,1)</f>
        <v>0</v>
      </c>
      <c r="Q26" s="81">
        <f>IF(Data!Q26&gt;Data!P26,DATEDIF(Data!P26,Data!Q26,"d"),0)</f>
        <v>0</v>
      </c>
      <c r="R26" s="81">
        <f>IF(Data!R26&gt;Data!Q26,DATEDIF(Data!Q26,Data!R26,"d"),0)</f>
        <v>0</v>
      </c>
      <c r="S26" s="45" t="s">
        <v>91</v>
      </c>
      <c r="T26" s="45">
        <f>COUNTIFS(Data!U:U,"=CDDI SIAE")</f>
        <v>9</v>
      </c>
      <c r="X26"/>
      <c r="Y26"/>
      <c r="Z26"/>
    </row>
    <row r="27" spans="1:26" ht="16" x14ac:dyDescent="0.2">
      <c r="B27" s="45"/>
      <c r="C27" s="80">
        <f t="shared" ca="1" si="0"/>
        <v>45959</v>
      </c>
      <c r="D27" s="81">
        <f ca="1">IF(Data!I27&lt;&gt;"",DATEDIF(Data!I27,C27,"m"),0)</f>
        <v>2</v>
      </c>
      <c r="E27" s="82">
        <f t="shared" ca="1" si="2"/>
        <v>0.16666666666666666</v>
      </c>
      <c r="I27" s="81" t="str">
        <f>CONCATENATE(Data!M27,"-",Data!L27)</f>
        <v>CD-GE</v>
      </c>
      <c r="J27" s="45" t="s">
        <v>1207</v>
      </c>
      <c r="K27" s="45">
        <f>COUNTIFS(I:I,"=IF-CH")</f>
        <v>2</v>
      </c>
      <c r="N27" s="81">
        <f>IF(Data!P27,DATEDIF(Data!O27,Data!P27,"d"),0)</f>
        <v>0</v>
      </c>
      <c r="O27" s="81">
        <f>IF(Data!M27="CD",1,0)</f>
        <v>1</v>
      </c>
      <c r="P27" s="81">
        <f>IF(Data!M27="CD",0,1)</f>
        <v>0</v>
      </c>
      <c r="Q27" s="81">
        <f>IF(Data!Q27&gt;Data!P27,DATEDIF(Data!P27,Data!Q27,"d"),0)</f>
        <v>0</v>
      </c>
      <c r="R27" s="81">
        <f>IF(Data!R27&gt;Data!Q27,DATEDIF(Data!Q27,Data!R27,"d"),0)</f>
        <v>0</v>
      </c>
      <c r="S27" s="45" t="s">
        <v>324</v>
      </c>
      <c r="T27" s="45">
        <f>COUNTIFS(Data!U:U,"=CDI temps partiel")</f>
        <v>3</v>
      </c>
      <c r="X27"/>
      <c r="Y27"/>
      <c r="Z27"/>
    </row>
    <row r="28" spans="1:26" ht="16" x14ac:dyDescent="0.2">
      <c r="B28" s="45"/>
      <c r="C28" s="80">
        <f t="shared" ca="1" si="0"/>
        <v>45959</v>
      </c>
      <c r="D28" s="81">
        <f ca="1">IF(Data!I28&lt;&gt;"",DATEDIF(Data!I28,C28,"m"),0)</f>
        <v>162</v>
      </c>
      <c r="E28" s="82">
        <f t="shared" ca="1" si="2"/>
        <v>13.5</v>
      </c>
      <c r="I28" s="81" t="str">
        <f>CONCATENATE(Data!M28,"-",Data!L28)</f>
        <v>CD-GE</v>
      </c>
      <c r="J28" s="45" t="s">
        <v>1208</v>
      </c>
      <c r="K28" s="45">
        <f>COUNTIFS(I:I,"=IF-VA")</f>
        <v>0</v>
      </c>
      <c r="N28" s="81">
        <f>IF(Data!P28,DATEDIF(Data!O28,Data!P28,"d"),0)</f>
        <v>0</v>
      </c>
      <c r="O28" s="81">
        <f>IF(Data!M28="CD",1,0)</f>
        <v>1</v>
      </c>
      <c r="P28" s="81">
        <f>IF(Data!M28="CD",0,1)</f>
        <v>0</v>
      </c>
      <c r="Q28" s="81">
        <f>IF(Data!Q28&gt;Data!P28,DATEDIF(Data!P28,Data!Q28,"d"),0)</f>
        <v>0</v>
      </c>
      <c r="R28" s="81">
        <f>IF(Data!R28&gt;Data!Q28,DATEDIF(Data!Q28,Data!R28,"d"),0)</f>
        <v>0</v>
      </c>
      <c r="S28" s="45" t="s">
        <v>323</v>
      </c>
      <c r="T28" s="45">
        <f>COUNTIFS(Data!U:U,"=CDI temps plein")</f>
        <v>1</v>
      </c>
      <c r="X28"/>
      <c r="Y28"/>
      <c r="Z28"/>
    </row>
    <row r="29" spans="1:26" ht="16" x14ac:dyDescent="0.2">
      <c r="B29" s="45"/>
      <c r="C29" s="80">
        <f t="shared" ca="1" si="0"/>
        <v>45959</v>
      </c>
      <c r="D29" s="81">
        <f ca="1">IF(Data!I29&lt;&gt;"",DATEDIF(Data!I29,C29,"m"),0)</f>
        <v>91</v>
      </c>
      <c r="E29" s="82">
        <f t="shared" ca="1" si="2"/>
        <v>7.583333333333333</v>
      </c>
      <c r="I29" s="81" t="str">
        <f>CONCATENATE(Data!M29,"-",Data!L29)</f>
        <v>CD-VA</v>
      </c>
      <c r="J29" s="45" t="s">
        <v>1507</v>
      </c>
      <c r="K29" s="45">
        <f>COUNTIFS(I:I,"=SA-BA")</f>
        <v>1</v>
      </c>
      <c r="N29" s="81">
        <f>IF(Data!P29,DATEDIF(Data!O29,Data!P29,"d"),0)</f>
        <v>0</v>
      </c>
      <c r="O29" s="81">
        <f>IF(Data!M29="CD",1,0)</f>
        <v>1</v>
      </c>
      <c r="P29" s="81">
        <f>IF(Data!M29="CD",0,1)</f>
        <v>0</v>
      </c>
      <c r="Q29" s="81">
        <f>IF(Data!Q29&gt;Data!P29,DATEDIF(Data!P29,Data!Q29,"d"),0)</f>
        <v>0</v>
      </c>
      <c r="R29" s="81">
        <f>IF(Data!R29&gt;Data!Q29,DATEDIF(Data!Q29,Data!R29,"d"),0)</f>
        <v>0</v>
      </c>
      <c r="S29" s="45" t="s">
        <v>215</v>
      </c>
      <c r="T29" s="45">
        <f>COUNTIFS(Data!U:U,"=CREATION MICROENTREPRISE")</f>
        <v>3</v>
      </c>
      <c r="X29"/>
      <c r="Y29"/>
      <c r="Z29"/>
    </row>
    <row r="30" spans="1:26" ht="16" x14ac:dyDescent="0.2">
      <c r="B30" s="45"/>
      <c r="C30" s="80">
        <f t="shared" ca="1" si="0"/>
        <v>45959</v>
      </c>
      <c r="D30" s="81">
        <f ca="1">IF(Data!I30&lt;&gt;"",DATEDIF(Data!I30,C30,"m"),0)</f>
        <v>94</v>
      </c>
      <c r="E30" s="82">
        <f t="shared" ca="1" si="2"/>
        <v>7.833333333333333</v>
      </c>
      <c r="I30" s="81" t="str">
        <f>CONCATENATE(Data!M30,"-",Data!L30)</f>
        <v>CD-VA</v>
      </c>
      <c r="J30" s="45" t="s">
        <v>1509</v>
      </c>
      <c r="K30" s="45">
        <f>COUNTIFS(I:I,"=SA-GE")</f>
        <v>0</v>
      </c>
      <c r="N30" s="81">
        <f>IF(Data!P30,DATEDIF(Data!O30,Data!P30,"d"),0)</f>
        <v>18</v>
      </c>
      <c r="O30" s="81">
        <f>IF(Data!M30="CD",1,0)</f>
        <v>1</v>
      </c>
      <c r="P30" s="81">
        <f>IF(Data!M30="CD",0,1)</f>
        <v>0</v>
      </c>
      <c r="Q30" s="81">
        <f>IF(Data!Q30&gt;Data!P30,DATEDIF(Data!P30,Data!Q30,"d"),0)</f>
        <v>6</v>
      </c>
      <c r="R30" s="81">
        <f>IF(Data!R30&gt;Data!Q30,DATEDIF(Data!Q30,Data!R30,"d"),0)</f>
        <v>10</v>
      </c>
      <c r="S30" s="45" t="s">
        <v>329</v>
      </c>
      <c r="T30" s="45">
        <f>COUNTIFS(Data!U:U,"=DECES")</f>
        <v>1</v>
      </c>
      <c r="X30"/>
      <c r="Y30"/>
      <c r="Z30"/>
    </row>
    <row r="31" spans="1:26" ht="16" x14ac:dyDescent="0.2">
      <c r="B31" s="45"/>
      <c r="C31" s="80">
        <f t="shared" ca="1" si="0"/>
        <v>45959</v>
      </c>
      <c r="D31" s="81">
        <f ca="1">IF(Data!I31&lt;&gt;"",DATEDIF(Data!I31,C31,"m"),0)</f>
        <v>197</v>
      </c>
      <c r="E31" s="82">
        <f t="shared" ca="1" si="2"/>
        <v>16.416666666666668</v>
      </c>
      <c r="I31" s="81" t="str">
        <f>CONCATENATE(Data!M31,"-",Data!L31)</f>
        <v>CD-GE</v>
      </c>
      <c r="J31" s="45" t="s">
        <v>1510</v>
      </c>
      <c r="K31" s="45">
        <f>COUNTIFS(I:I,"=SA-CH")</f>
        <v>0</v>
      </c>
      <c r="N31" s="81">
        <f>IF(Data!P31,DATEDIF(Data!O31,Data!P31,"d"),0)</f>
        <v>22</v>
      </c>
      <c r="O31" s="81">
        <f>IF(Data!M31="CD",1,0)</f>
        <v>1</v>
      </c>
      <c r="P31" s="81">
        <f>IF(Data!M31="CD",0,1)</f>
        <v>0</v>
      </c>
      <c r="Q31" s="81">
        <f>IF(Data!Q31&gt;Data!P31,DATEDIF(Data!P31,Data!Q31,"d"),0)</f>
        <v>0</v>
      </c>
      <c r="R31" s="81">
        <f>IF(Data!R31&gt;Data!Q31,DATEDIF(Data!Q31,Data!R31,"d"),0)</f>
        <v>0</v>
      </c>
      <c r="S31" s="45" t="s">
        <v>214</v>
      </c>
      <c r="T31" s="45">
        <f>COUNTIFS(Data!U:U,"=DEMENAGEMENT AUTRE DEPARTEMENT")</f>
        <v>5</v>
      </c>
      <c r="X31"/>
      <c r="Y31"/>
      <c r="Z31"/>
    </row>
    <row r="32" spans="1:26" ht="16" x14ac:dyDescent="0.2">
      <c r="B32" s="45"/>
      <c r="C32" s="80">
        <f t="shared" ca="1" si="0"/>
        <v>45959</v>
      </c>
      <c r="D32" s="81">
        <f ca="1">IF(Data!I32&lt;&gt;"",DATEDIF(Data!I32,C32,"m"),0)</f>
        <v>12</v>
      </c>
      <c r="E32" s="82">
        <f t="shared" ca="1" si="2"/>
        <v>1</v>
      </c>
      <c r="I32" s="81" t="str">
        <f>CONCATENATE(Data!M32,"-",Data!L32)</f>
        <v>CD-VA</v>
      </c>
      <c r="J32" s="45" t="s">
        <v>1508</v>
      </c>
      <c r="K32" s="45">
        <f>COUNTIFS(I:I,"=SA-VA")</f>
        <v>0</v>
      </c>
      <c r="N32" s="81">
        <f>IF(Data!P32,DATEDIF(Data!O32,Data!P32,"d"),0)</f>
        <v>15</v>
      </c>
      <c r="O32" s="81">
        <f>IF(Data!M32="CD",1,0)</f>
        <v>1</v>
      </c>
      <c r="P32" s="81">
        <f>IF(Data!M32="CD",0,1)</f>
        <v>0</v>
      </c>
      <c r="Q32" s="81">
        <f>IF(Data!Q32&gt;Data!P32,DATEDIF(Data!P32,Data!Q32,"d"),0)</f>
        <v>5</v>
      </c>
      <c r="R32" s="81">
        <f>IF(Data!R32&gt;Data!Q32,DATEDIF(Data!Q32,Data!R32,"d"),0)</f>
        <v>1</v>
      </c>
      <c r="S32" s="45" t="s">
        <v>319</v>
      </c>
      <c r="T32" s="45">
        <f>COUNTIFS(Data!U:U,"=DOSSIER MDPH DEPOSE POUR EQUIPE TECHNIQUE MDPH SPR74")</f>
        <v>81</v>
      </c>
      <c r="X32"/>
      <c r="Y32"/>
      <c r="Z32"/>
    </row>
    <row r="33" spans="2:26" ht="16" x14ac:dyDescent="0.2">
      <c r="B33" s="45"/>
      <c r="C33" s="80">
        <f t="shared" ca="1" si="0"/>
        <v>45959</v>
      </c>
      <c r="D33" s="81">
        <f ca="1">IF(Data!I33&lt;&gt;"",DATEDIF(Data!I33,C33,"m"),0)</f>
        <v>73</v>
      </c>
      <c r="E33" s="82">
        <f t="shared" ca="1" si="2"/>
        <v>6.083333333333333</v>
      </c>
      <c r="I33" s="81" t="str">
        <f>CONCATENATE(Data!M33,"-",Data!L33)</f>
        <v>CD-CH</v>
      </c>
      <c r="J33" s="45" t="s">
        <v>1314</v>
      </c>
      <c r="K33" s="45">
        <f>COUNTIFS(I:I,"=TR-GE")</f>
        <v>4</v>
      </c>
      <c r="N33" s="81">
        <f>IF(Data!P33,DATEDIF(Data!O33,Data!P33,"d"),0)</f>
        <v>0</v>
      </c>
      <c r="O33" s="81">
        <f>IF(Data!M33="CD",1,0)</f>
        <v>1</v>
      </c>
      <c r="P33" s="81">
        <f>IF(Data!M33="CD",0,1)</f>
        <v>0</v>
      </c>
      <c r="Q33" s="81">
        <f>IF(Data!Q33&gt;Data!P33,DATEDIF(Data!P33,Data!Q33,"d"),0)</f>
        <v>0</v>
      </c>
      <c r="R33" s="81">
        <f>IF(Data!R33&gt;Data!Q33,DATEDIF(Data!Q33,Data!R33,"d"),0)</f>
        <v>0</v>
      </c>
      <c r="S33" s="45" t="s">
        <v>320</v>
      </c>
      <c r="T33" s="45">
        <f>COUNTIFS(Data!U:U,"=DOSSIER MDPH EN COURS CONSTITUTION POUR EQUIPE TECHNIQUE MDPH SPR74")</f>
        <v>38</v>
      </c>
      <c r="X33"/>
      <c r="Y33"/>
      <c r="Z33"/>
    </row>
    <row r="34" spans="2:26" ht="16" x14ac:dyDescent="0.2">
      <c r="B34" s="45"/>
      <c r="C34" s="80">
        <f t="shared" ca="1" si="0"/>
        <v>45959</v>
      </c>
      <c r="D34" s="81">
        <f ca="1">IF(Data!I34&lt;&gt;"",DATEDIF(Data!I34,C34,"m"),0)</f>
        <v>55</v>
      </c>
      <c r="E34" s="82">
        <f t="shared" ca="1" si="2"/>
        <v>4.583333333333333</v>
      </c>
      <c r="I34" s="81" t="str">
        <f>CONCATENATE(Data!M34,"-",Data!L34)</f>
        <v>CD-BA</v>
      </c>
      <c r="K34" s="65">
        <f>SUM(K2:K33)</f>
        <v>586</v>
      </c>
      <c r="N34" s="81">
        <f>IF(Data!P34,DATEDIF(Data!O34,Data!P34,"d"),0)</f>
        <v>0</v>
      </c>
      <c r="O34" s="81">
        <f>IF(Data!M34="CD",1,0)</f>
        <v>1</v>
      </c>
      <c r="P34" s="81">
        <f>IF(Data!M34="CD",0,1)</f>
        <v>0</v>
      </c>
      <c r="Q34" s="81">
        <f>IF(Data!Q34&gt;Data!P34,DATEDIF(Data!P34,Data!Q34,"d"),0)</f>
        <v>5</v>
      </c>
      <c r="R34" s="81">
        <f>IF(Data!R34&gt;Data!Q34,DATEDIF(Data!Q34,Data!R34,"d"),0)</f>
        <v>9</v>
      </c>
      <c r="S34" s="45" t="s">
        <v>72</v>
      </c>
      <c r="T34" s="45">
        <f>COUNTIFS(Data!U:U,"=EMPLOI INTERIM")</f>
        <v>0</v>
      </c>
      <c r="X34"/>
      <c r="Y34"/>
      <c r="Z34"/>
    </row>
    <row r="35" spans="2:26" ht="16" x14ac:dyDescent="0.2">
      <c r="B35" s="45"/>
      <c r="C35" s="80">
        <f t="shared" ca="1" si="0"/>
        <v>45959</v>
      </c>
      <c r="D35" s="81">
        <f ca="1">IF(Data!I35&lt;&gt;"",DATEDIF(Data!I35,C35,"m"),0)</f>
        <v>6</v>
      </c>
      <c r="E35" s="82">
        <f t="shared" ca="1" si="2"/>
        <v>0.5</v>
      </c>
      <c r="I35" s="81" t="str">
        <f>CONCATENATE(Data!M35,"-",Data!L35)</f>
        <v>CD-VA</v>
      </c>
      <c r="N35" s="81">
        <f>IF(Data!P35,DATEDIF(Data!O35,Data!P35,"d"),0)</f>
        <v>4</v>
      </c>
      <c r="O35" s="81">
        <f>IF(Data!M35="CD",1,0)</f>
        <v>1</v>
      </c>
      <c r="P35" s="81">
        <f>IF(Data!M35="CD",0,1)</f>
        <v>0</v>
      </c>
      <c r="Q35" s="81">
        <f>IF(Data!Q35&gt;Data!P35,DATEDIF(Data!P35,Data!Q35,"d"),0)</f>
        <v>4</v>
      </c>
      <c r="R35" s="81">
        <f>IF(Data!R35&gt;Data!Q35,DATEDIF(Data!Q35,Data!R35,"d"),0)</f>
        <v>6</v>
      </c>
      <c r="S35" s="45" t="s">
        <v>101</v>
      </c>
      <c r="T35" s="45">
        <f>COUNTIFS(Data!U:U,"=ENTREE ESAT")</f>
        <v>0</v>
      </c>
      <c r="X35"/>
      <c r="Y35"/>
      <c r="Z35"/>
    </row>
    <row r="36" spans="2:26" ht="16" x14ac:dyDescent="0.2">
      <c r="B36" s="45"/>
      <c r="C36" s="80">
        <f t="shared" ca="1" si="0"/>
        <v>45959</v>
      </c>
      <c r="D36" s="81">
        <f ca="1">IF(Data!I36&lt;&gt;"",DATEDIF(Data!I36,C36,"m"),0)</f>
        <v>4</v>
      </c>
      <c r="E36" s="82">
        <f t="shared" ca="1" si="2"/>
        <v>0.33333333333333331</v>
      </c>
      <c r="I36" s="81" t="str">
        <f>CONCATENATE(Data!M36,"-",Data!L36)</f>
        <v>CI-VA</v>
      </c>
      <c r="N36" s="81">
        <f>IF(Data!P36,DATEDIF(Data!O36,Data!P36,"d"),0)</f>
        <v>7</v>
      </c>
      <c r="O36" s="81">
        <f>IF(Data!M36="CD",1,0)</f>
        <v>0</v>
      </c>
      <c r="P36" s="81">
        <f>IF(Data!M36="CD",0,1)</f>
        <v>1</v>
      </c>
      <c r="Q36" s="81">
        <f>IF(Data!Q36&gt;Data!P36,DATEDIF(Data!P36,Data!Q36,"d"),0)</f>
        <v>4</v>
      </c>
      <c r="R36" s="81">
        <f>IF(Data!R36&gt;Data!Q36,DATEDIF(Data!Q36,Data!R36,"d"),0)</f>
        <v>17</v>
      </c>
      <c r="S36" s="45" t="s">
        <v>96</v>
      </c>
      <c r="T36" s="45">
        <f>COUNTIFS(Data!U:U,"=FORMATION NON QUALIFIANTE")</f>
        <v>0</v>
      </c>
      <c r="X36"/>
      <c r="Y36"/>
      <c r="Z36"/>
    </row>
    <row r="37" spans="2:26" ht="16" x14ac:dyDescent="0.2">
      <c r="B37" s="45"/>
      <c r="C37" s="80">
        <f t="shared" ca="1" si="0"/>
        <v>45959</v>
      </c>
      <c r="D37" s="81">
        <f>IF(Data!I37&lt;&gt;"",DATEDIF(Data!I37,C37,"m"),0)</f>
        <v>0</v>
      </c>
      <c r="E37" s="82">
        <f t="shared" si="2"/>
        <v>0</v>
      </c>
      <c r="I37" s="81" t="str">
        <f>CONCATENATE(Data!M37,"-",Data!L37)</f>
        <v>ML-BA</v>
      </c>
      <c r="N37" s="81">
        <f>IF(Data!P37,DATEDIF(Data!O37,Data!P37,"d"),0)</f>
        <v>1</v>
      </c>
      <c r="O37" s="81">
        <f>IF(Data!M37="CD",1,0)</f>
        <v>0</v>
      </c>
      <c r="P37" s="81">
        <f>IF(Data!M37="CD",0,1)</f>
        <v>1</v>
      </c>
      <c r="Q37" s="81">
        <f>IF(Data!Q37&gt;Data!P37,DATEDIF(Data!P37,Data!Q37,"d"),0)</f>
        <v>11</v>
      </c>
      <c r="R37" s="81">
        <f>IF(Data!R37&gt;Data!Q37,DATEDIF(Data!Q37,Data!R37,"d"),0)</f>
        <v>7</v>
      </c>
      <c r="S37" s="45" t="s">
        <v>95</v>
      </c>
      <c r="T37" s="45">
        <f>COUNTIFS(Data!U:U,"=FORMATION QUALIFIANTE")</f>
        <v>2</v>
      </c>
      <c r="X37"/>
      <c r="Y37"/>
      <c r="Z37"/>
    </row>
    <row r="38" spans="2:26" ht="16" x14ac:dyDescent="0.2">
      <c r="B38" s="45"/>
      <c r="C38" s="80">
        <f t="shared" ca="1" si="0"/>
        <v>45959</v>
      </c>
      <c r="D38" s="81">
        <f ca="1">IF(Data!I38&lt;&gt;"",DATEDIF(Data!I38,C38,"m"),0)</f>
        <v>131</v>
      </c>
      <c r="E38" s="82">
        <f t="shared" ca="1" si="2"/>
        <v>10.916666666666666</v>
      </c>
      <c r="I38" s="81" t="str">
        <f>CONCATENATE(Data!M38,"-",Data!L38)</f>
        <v>CD-CH</v>
      </c>
      <c r="N38" s="81">
        <f>IF(Data!P38,DATEDIF(Data!O38,Data!P38,"d"),0)</f>
        <v>0</v>
      </c>
      <c r="O38" s="81">
        <f>IF(Data!M38="CD",1,0)</f>
        <v>1</v>
      </c>
      <c r="P38" s="81">
        <f>IF(Data!M38="CD",0,1)</f>
        <v>0</v>
      </c>
      <c r="Q38" s="81">
        <f>IF(Data!Q38&gt;Data!P38,DATEDIF(Data!P38,Data!Q38,"d"),0)</f>
        <v>0</v>
      </c>
      <c r="R38" s="81">
        <f>IF(Data!R38&gt;Data!Q38,DATEDIF(Data!Q38,Data!R38,"d"),0)</f>
        <v>0</v>
      </c>
      <c r="S38" s="45" t="s">
        <v>98</v>
      </c>
      <c r="T38" s="45">
        <f>COUNTIFS(Data!U:U,"=HOSPITALISATION MOYENNE OU LONGUE DUREE")</f>
        <v>4</v>
      </c>
      <c r="X38"/>
      <c r="Y38"/>
      <c r="Z38"/>
    </row>
    <row r="39" spans="2:26" ht="16" x14ac:dyDescent="0.2">
      <c r="B39" s="45"/>
      <c r="C39" s="80">
        <f t="shared" ca="1" si="0"/>
        <v>45959</v>
      </c>
      <c r="D39" s="81">
        <f ca="1">IF(Data!I39&lt;&gt;"",DATEDIF(Data!I39,C39,"m"),0)</f>
        <v>32</v>
      </c>
      <c r="E39" s="82">
        <f t="shared" ca="1" si="2"/>
        <v>2.6666666666666665</v>
      </c>
      <c r="I39" s="81" t="str">
        <f>CONCATENATE(Data!M39,"-",Data!L39)</f>
        <v>CD-CH</v>
      </c>
      <c r="N39" s="81">
        <f>IF(Data!P39,DATEDIF(Data!O39,Data!P39,"d"),0)</f>
        <v>0</v>
      </c>
      <c r="O39" s="81">
        <f>IF(Data!M39="CD",1,0)</f>
        <v>1</v>
      </c>
      <c r="P39" s="81">
        <f>IF(Data!M39="CD",0,1)</f>
        <v>0</v>
      </c>
      <c r="Q39" s="81">
        <f>IF(Data!Q39&gt;Data!P39,DATEDIF(Data!P39,Data!Q39,"d"),0)</f>
        <v>5</v>
      </c>
      <c r="R39" s="81">
        <f>IF(Data!R39&gt;Data!Q39,DATEDIF(Data!Q39,Data!R39,"d"),0)</f>
        <v>9</v>
      </c>
      <c r="S39" s="45" t="s">
        <v>92</v>
      </c>
      <c r="T39" s="45">
        <f>COUNTIFS(Data!U:U,"=MESURE INADAPTEE")</f>
        <v>22</v>
      </c>
      <c r="X39"/>
      <c r="Y39"/>
      <c r="Z39"/>
    </row>
    <row r="40" spans="2:26" ht="16" x14ac:dyDescent="0.2">
      <c r="B40" s="45"/>
      <c r="C40" s="80">
        <f t="shared" ca="1" si="0"/>
        <v>45959</v>
      </c>
      <c r="D40" s="81">
        <f ca="1">IF(Data!I40&lt;&gt;"",DATEDIF(Data!I40,C40,"m"),0)</f>
        <v>140</v>
      </c>
      <c r="E40" s="82">
        <f t="shared" ca="1" si="2"/>
        <v>11.666666666666666</v>
      </c>
      <c r="I40" s="81" t="str">
        <f>CONCATENATE(Data!M40,"-",Data!L40)</f>
        <v>AI-GE</v>
      </c>
      <c r="N40" s="81">
        <f>IF(Data!P40,DATEDIF(Data!O40,Data!P40,"d"),0)</f>
        <v>34</v>
      </c>
      <c r="O40" s="81">
        <f>IF(Data!M40="CD",1,0)</f>
        <v>0</v>
      </c>
      <c r="P40" s="81">
        <f>IF(Data!M40="CD",0,1)</f>
        <v>1</v>
      </c>
      <c r="Q40" s="81">
        <f>IF(Data!Q40&gt;Data!P40,DATEDIF(Data!P40,Data!Q40,"d"),0)</f>
        <v>0</v>
      </c>
      <c r="R40" s="81">
        <f>IF(Data!R40&gt;Data!Q40,DATEDIF(Data!Q40,Data!R40,"d"),0)</f>
        <v>2</v>
      </c>
      <c r="S40" s="45" t="s">
        <v>327</v>
      </c>
      <c r="T40" s="45">
        <f>COUNTIFS(Data!U:U,"=OBTENTION AAH rsdae")</f>
        <v>1</v>
      </c>
      <c r="X40"/>
      <c r="Y40"/>
      <c r="Z40"/>
    </row>
    <row r="41" spans="2:26" ht="16" x14ac:dyDescent="0.2">
      <c r="B41" s="45"/>
      <c r="C41" s="80">
        <f t="shared" ca="1" si="0"/>
        <v>45959</v>
      </c>
      <c r="D41" s="81">
        <f ca="1">IF(Data!I41&lt;&gt;"",DATEDIF(Data!I41,C41,"m"),0)</f>
        <v>124</v>
      </c>
      <c r="E41" s="82">
        <f t="shared" ca="1" si="2"/>
        <v>10.333333333333334</v>
      </c>
      <c r="I41" s="81" t="str">
        <f>CONCATENATE(Data!M41,"-",Data!L41)</f>
        <v>CD-CH</v>
      </c>
      <c r="N41" s="81">
        <f>IF(Data!P41,DATEDIF(Data!O41,Data!P41,"d"),0)</f>
        <v>0</v>
      </c>
      <c r="O41" s="81">
        <f>IF(Data!M41="CD",1,0)</f>
        <v>1</v>
      </c>
      <c r="P41" s="81">
        <f>IF(Data!M41="CD",0,1)</f>
        <v>0</v>
      </c>
      <c r="Q41" s="81">
        <f>IF(Data!Q41&gt;Data!P41,DATEDIF(Data!P41,Data!Q41,"d"),0)</f>
        <v>0</v>
      </c>
      <c r="R41" s="81">
        <f>IF(Data!R41&gt;Data!Q41,DATEDIF(Data!Q41,Data!R41,"d"),0)</f>
        <v>0</v>
      </c>
      <c r="S41" s="45" t="s">
        <v>414</v>
      </c>
      <c r="T41" s="45">
        <f>COUNTIFS(Data!U:U,"=OBTENTION AAH rsdae 3")</f>
        <v>38</v>
      </c>
      <c r="X41"/>
      <c r="Y41"/>
      <c r="Z41"/>
    </row>
    <row r="42" spans="2:26" ht="16" x14ac:dyDescent="0.2">
      <c r="B42" s="45"/>
      <c r="C42" s="80">
        <f t="shared" ca="1" si="0"/>
        <v>45959</v>
      </c>
      <c r="D42" s="81">
        <f ca="1">IF(Data!I42&lt;&gt;"",DATEDIF(Data!I42,C42,"m"),0)</f>
        <v>42</v>
      </c>
      <c r="E42" s="82">
        <f t="shared" ca="1" si="2"/>
        <v>3.5</v>
      </c>
      <c r="I42" s="81" t="str">
        <f>CONCATENATE(Data!M42,"-",Data!L42)</f>
        <v>CD-VA</v>
      </c>
      <c r="N42" s="81">
        <f>IF(Data!P42,DATEDIF(Data!O42,Data!P42,"d"),0)</f>
        <v>3</v>
      </c>
      <c r="O42" s="81">
        <f>IF(Data!M42="CD",1,0)</f>
        <v>1</v>
      </c>
      <c r="P42" s="81">
        <f>IF(Data!M42="CD",0,1)</f>
        <v>0</v>
      </c>
      <c r="Q42" s="81">
        <f>IF(Data!Q42&gt;Data!P42,DATEDIF(Data!P42,Data!Q42,"d"),0)</f>
        <v>3</v>
      </c>
      <c r="R42" s="81">
        <f>IF(Data!R42&gt;Data!Q42,DATEDIF(Data!Q42,Data!R42,"d"),0)</f>
        <v>14</v>
      </c>
      <c r="S42" s="45" t="s">
        <v>415</v>
      </c>
      <c r="T42" s="45">
        <f>COUNTIFS(Data!U:U,"=OBTENTION AAH rsdae 5")</f>
        <v>19</v>
      </c>
      <c r="X42"/>
      <c r="Y42"/>
      <c r="Z42"/>
    </row>
    <row r="43" spans="2:26" ht="16" x14ac:dyDescent="0.2">
      <c r="B43" s="45"/>
      <c r="C43" s="80">
        <f t="shared" ca="1" si="0"/>
        <v>45959</v>
      </c>
      <c r="D43" s="81">
        <f ca="1">IF(Data!I43&lt;&gt;"",DATEDIF(Data!I43,C43,"m"),0)</f>
        <v>104</v>
      </c>
      <c r="E43" s="82">
        <f t="shared" ca="1" si="2"/>
        <v>8.6666666666666661</v>
      </c>
      <c r="I43" s="81" t="str">
        <f>CONCATENATE(Data!M43,"-",Data!L43)</f>
        <v>CD-BA</v>
      </c>
      <c r="N43" s="81">
        <f>IF(Data!P43,DATEDIF(Data!O43,Data!P43,"d"),0)</f>
        <v>0</v>
      </c>
      <c r="O43" s="81">
        <f>IF(Data!M43="CD",1,0)</f>
        <v>1</v>
      </c>
      <c r="P43" s="81">
        <f>IF(Data!M43="CD",0,1)</f>
        <v>0</v>
      </c>
      <c r="Q43" s="81">
        <f>IF(Data!Q43&gt;Data!P43,DATEDIF(Data!P43,Data!Q43,"d"),0)</f>
        <v>17</v>
      </c>
      <c r="R43" s="81">
        <f>IF(Data!R43&gt;Data!Q43,DATEDIF(Data!Q43,Data!R43,"d"),0)</f>
        <v>13</v>
      </c>
      <c r="S43" s="45" t="s">
        <v>377</v>
      </c>
      <c r="T43" s="45">
        <f>COUNTIFS(Data!U:U,"=OBTENTION PENSION INVAL 2")</f>
        <v>0</v>
      </c>
      <c r="X43"/>
      <c r="Y43"/>
      <c r="Z43"/>
    </row>
    <row r="44" spans="2:26" ht="16" x14ac:dyDescent="0.2">
      <c r="B44" s="45"/>
      <c r="C44" s="80">
        <f t="shared" ca="1" si="0"/>
        <v>45959</v>
      </c>
      <c r="D44" s="81">
        <f ca="1">IF(Data!I44&lt;&gt;"",DATEDIF(Data!I44,C44,"m"),0)</f>
        <v>7</v>
      </c>
      <c r="E44" s="82">
        <f t="shared" ca="1" si="2"/>
        <v>0.58333333333333337</v>
      </c>
      <c r="I44" s="81" t="str">
        <f>CONCATENATE(Data!M44,"-",Data!L44)</f>
        <v>CD-GE</v>
      </c>
      <c r="N44" s="81">
        <f>IF(Data!P44,DATEDIF(Data!O44,Data!P44,"d"),0)</f>
        <v>33</v>
      </c>
      <c r="O44" s="81">
        <f>IF(Data!M44="CD",1,0)</f>
        <v>1</v>
      </c>
      <c r="P44" s="81">
        <f>IF(Data!M44="CD",0,1)</f>
        <v>0</v>
      </c>
      <c r="Q44" s="81">
        <f>IF(Data!Q44&gt;Data!P44,DATEDIF(Data!P44,Data!Q44,"d"),0)</f>
        <v>1</v>
      </c>
      <c r="R44" s="81">
        <f>IF(Data!R44&gt;Data!Q44,DATEDIF(Data!Q44,Data!R44,"d"),0)</f>
        <v>6</v>
      </c>
      <c r="S44" s="45" t="s">
        <v>362</v>
      </c>
      <c r="T44" s="45">
        <f>COUNTIFS(Data!U:U,"=ORIENTATION ACCOMPAGNEMENT TNS - AIDER")</f>
        <v>2</v>
      </c>
      <c r="X44"/>
      <c r="Y44"/>
      <c r="Z44"/>
    </row>
    <row r="45" spans="2:26" ht="16" x14ac:dyDescent="0.2">
      <c r="B45" s="45"/>
      <c r="C45" s="80">
        <f t="shared" ca="1" si="0"/>
        <v>45959</v>
      </c>
      <c r="D45" s="81">
        <f ca="1">IF(Data!I45&lt;&gt;"",DATEDIF(Data!I45,C45,"m"),0)</f>
        <v>65</v>
      </c>
      <c r="E45" s="82">
        <f t="shared" ca="1" si="2"/>
        <v>5.416666666666667</v>
      </c>
      <c r="I45" s="81" t="str">
        <f>CONCATENATE(Data!M45,"-",Data!L45)</f>
        <v>CD-GE</v>
      </c>
      <c r="N45" s="81">
        <f>IF(Data!P45,DATEDIF(Data!O45,Data!P45,"d"),0)</f>
        <v>33</v>
      </c>
      <c r="O45" s="81">
        <f>IF(Data!M45="CD",1,0)</f>
        <v>1</v>
      </c>
      <c r="P45" s="81">
        <f>IF(Data!M45="CD",0,1)</f>
        <v>0</v>
      </c>
      <c r="Q45" s="81">
        <f>IF(Data!Q45&gt;Data!P45,DATEDIF(Data!P45,Data!Q45,"d"),0)</f>
        <v>1</v>
      </c>
      <c r="R45" s="81">
        <f>IF(Data!R45&gt;Data!Q45,DATEDIF(Data!Q45,Data!R45,"d"),0)</f>
        <v>6</v>
      </c>
      <c r="S45" s="45" t="s">
        <v>219</v>
      </c>
      <c r="T45" s="45">
        <f>COUNTIFS(Data!U:U,"=ORIENTATION EA")</f>
        <v>1</v>
      </c>
      <c r="X45"/>
      <c r="Y45"/>
      <c r="Z45"/>
    </row>
    <row r="46" spans="2:26" ht="16" x14ac:dyDescent="0.2">
      <c r="B46" s="45"/>
      <c r="C46" s="80">
        <f t="shared" ca="1" si="0"/>
        <v>45959</v>
      </c>
      <c r="D46" s="81">
        <f ca="1">IF(Data!I46&lt;&gt;"",DATEDIF(Data!I46,C46,"m"),0)</f>
        <v>18</v>
      </c>
      <c r="E46" s="82">
        <f t="shared" ca="1" si="2"/>
        <v>1.5</v>
      </c>
      <c r="I46" s="81" t="str">
        <f>CONCATENATE(Data!M46,"-",Data!L46)</f>
        <v>CI-GE</v>
      </c>
      <c r="N46" s="81">
        <f>IF(Data!P46,DATEDIF(Data!O46,Data!P46,"d"),0)</f>
        <v>34</v>
      </c>
      <c r="O46" s="81">
        <f>IF(Data!M46="CD",1,0)</f>
        <v>0</v>
      </c>
      <c r="P46" s="81">
        <f>IF(Data!M46="CD",0,1)</f>
        <v>1</v>
      </c>
      <c r="Q46" s="81">
        <f>IF(Data!Q46&gt;Data!P46,DATEDIF(Data!P46,Data!Q46,"d"),0)</f>
        <v>1</v>
      </c>
      <c r="R46" s="81">
        <f>IF(Data!R46&gt;Data!Q46,DATEDIF(Data!Q46,Data!R46,"d"),0)</f>
        <v>6</v>
      </c>
      <c r="S46" s="45" t="s">
        <v>221</v>
      </c>
      <c r="T46" s="45">
        <f>COUNTIFS(Data!U:U,"=ORIENTATION PARCOURS PERSEVERANCE")</f>
        <v>0</v>
      </c>
      <c r="X46"/>
      <c r="Y46"/>
      <c r="Z46"/>
    </row>
    <row r="47" spans="2:26" ht="16" x14ac:dyDescent="0.2">
      <c r="B47" s="45"/>
      <c r="C47" s="80">
        <f t="shared" ca="1" si="0"/>
        <v>45959</v>
      </c>
      <c r="D47" s="81">
        <f ca="1">IF(Data!I47&lt;&gt;"",DATEDIF(Data!I47,C47,"m"),0)</f>
        <v>11</v>
      </c>
      <c r="E47" s="82">
        <f t="shared" ca="1" si="2"/>
        <v>0.91666666666666663</v>
      </c>
      <c r="I47" s="81" t="str">
        <f>CONCATENATE(Data!M47,"-",Data!L47)</f>
        <v>TR-GE</v>
      </c>
      <c r="N47" s="81">
        <f>IF(Data!P47,DATEDIF(Data!O47,Data!P47,"d"),0)</f>
        <v>36</v>
      </c>
      <c r="O47" s="81">
        <f>IF(Data!M47="CD",1,0)</f>
        <v>0</v>
      </c>
      <c r="P47" s="81">
        <f>IF(Data!M47="CD",0,1)</f>
        <v>1</v>
      </c>
      <c r="Q47" s="81">
        <f>IF(Data!Q47&gt;Data!P47,DATEDIF(Data!P47,Data!Q47,"d"),0)</f>
        <v>1</v>
      </c>
      <c r="R47" s="81">
        <f>IF(Data!R47&gt;Data!Q47,DATEDIF(Data!Q47,Data!R47,"d"),0)</f>
        <v>7</v>
      </c>
      <c r="S47" s="45" t="s">
        <v>217</v>
      </c>
      <c r="T47" s="45">
        <f>COUNTIFS(Data!U:U,"=ORIENTATION SIAE")</f>
        <v>0</v>
      </c>
      <c r="X47"/>
      <c r="Y47"/>
      <c r="Z47"/>
    </row>
    <row r="48" spans="2:26" ht="16" x14ac:dyDescent="0.2">
      <c r="B48" s="45"/>
      <c r="C48" s="80">
        <f t="shared" ca="1" si="0"/>
        <v>45959</v>
      </c>
      <c r="D48" s="81">
        <f ca="1">IF(Data!I48&lt;&gt;"",DATEDIF(Data!I48,C48,"m"),0)</f>
        <v>19</v>
      </c>
      <c r="E48" s="82">
        <f t="shared" ca="1" si="2"/>
        <v>1.5833333333333333</v>
      </c>
      <c r="I48" s="81" t="str">
        <f>CONCATENATE(Data!M48,"-",Data!L48)</f>
        <v>CD-GE</v>
      </c>
      <c r="N48" s="81">
        <f>IF(Data!P48,DATEDIF(Data!O48,Data!P48,"d"),0)</f>
        <v>0</v>
      </c>
      <c r="O48" s="81">
        <f>IF(Data!M48="CD",1,0)</f>
        <v>1</v>
      </c>
      <c r="P48" s="81">
        <f>IF(Data!M48="CD",0,1)</f>
        <v>0</v>
      </c>
      <c r="Q48" s="81">
        <f>IF(Data!Q48&gt;Data!P48,DATEDIF(Data!P48,Data!Q48,"d"),0)</f>
        <v>0</v>
      </c>
      <c r="R48" s="81">
        <f>IF(Data!R48&gt;Data!Q48,DATEDIF(Data!Q48,Data!R48,"d"),0)</f>
        <v>0</v>
      </c>
      <c r="S48" s="45" t="s">
        <v>220</v>
      </c>
      <c r="T48" s="45">
        <f>COUNTIFS(Data!U:U,"=ORIENTATION WEAVERS")</f>
        <v>2</v>
      </c>
      <c r="X48"/>
      <c r="Y48"/>
      <c r="Z48"/>
    </row>
    <row r="49" spans="2:26" ht="16" x14ac:dyDescent="0.2">
      <c r="B49" s="45"/>
      <c r="C49" s="80">
        <f t="shared" ca="1" si="0"/>
        <v>45959</v>
      </c>
      <c r="D49" s="81">
        <f ca="1">IF(Data!I49&lt;&gt;"",DATEDIF(Data!I49,C49,"m"),0)</f>
        <v>9</v>
      </c>
      <c r="E49" s="82">
        <f t="shared" ca="1" si="2"/>
        <v>0.75</v>
      </c>
      <c r="I49" s="81" t="str">
        <f>CONCATENATE(Data!M49,"-",Data!L49)</f>
        <v>CD-VA</v>
      </c>
      <c r="N49" s="81">
        <f>IF(Data!P49,DATEDIF(Data!O49,Data!P49,"d"),0)</f>
        <v>0</v>
      </c>
      <c r="O49" s="81">
        <f>IF(Data!M49="CD",1,0)</f>
        <v>1</v>
      </c>
      <c r="P49" s="81">
        <f>IF(Data!M49="CD",0,1)</f>
        <v>0</v>
      </c>
      <c r="Q49" s="81">
        <f>IF(Data!Q49&gt;Data!P49,DATEDIF(Data!P49,Data!Q49,"d"),0)</f>
        <v>0</v>
      </c>
      <c r="R49" s="81">
        <f>IF(Data!R49&gt;Data!Q49,DATEDIF(Data!Q49,Data!R49,"d"),0)</f>
        <v>0</v>
      </c>
      <c r="S49" s="45" t="s">
        <v>357</v>
      </c>
      <c r="T49" s="45">
        <f>COUNTIFS(Data!U:U,"=PENSION INVALIDITE CPAM")</f>
        <v>0</v>
      </c>
      <c r="X49"/>
      <c r="Y49"/>
      <c r="Z49"/>
    </row>
    <row r="50" spans="2:26" ht="16" x14ac:dyDescent="0.2">
      <c r="B50" s="45"/>
      <c r="C50" s="80">
        <f t="shared" ca="1" si="0"/>
        <v>45959</v>
      </c>
      <c r="D50" s="81">
        <f ca="1">IF(Data!I50&lt;&gt;"",DATEDIF(Data!I50,C50,"m"),0)</f>
        <v>6</v>
      </c>
      <c r="E50" s="82">
        <f t="shared" ca="1" si="2"/>
        <v>0.5</v>
      </c>
      <c r="I50" s="81" t="str">
        <f>CONCATENATE(Data!M50,"-",Data!L50)</f>
        <v>CD-BA</v>
      </c>
      <c r="N50" s="81">
        <f>IF(Data!P50,DATEDIF(Data!O50,Data!P50,"d"),0)</f>
        <v>0</v>
      </c>
      <c r="O50" s="81">
        <f>IF(Data!M50="CD",1,0)</f>
        <v>1</v>
      </c>
      <c r="P50" s="81">
        <f>IF(Data!M50="CD",0,1)</f>
        <v>0</v>
      </c>
      <c r="Q50" s="81">
        <f>IF(Data!Q50&gt;Data!P50,DATEDIF(Data!P50,Data!Q50,"d"),0)</f>
        <v>6</v>
      </c>
      <c r="R50" s="81">
        <f>IF(Data!R50&gt;Data!Q50,DATEDIF(Data!Q50,Data!R50,"d"),0)</f>
        <v>8</v>
      </c>
      <c r="S50" s="45" t="s">
        <v>94</v>
      </c>
      <c r="T50" s="45">
        <f>COUNTIFS(Data!U:U,"=PRISE DE DROITS A LA RETRAITE")</f>
        <v>1</v>
      </c>
      <c r="X50"/>
      <c r="Y50"/>
      <c r="Z50"/>
    </row>
    <row r="51" spans="2:26" ht="16" x14ac:dyDescent="0.2">
      <c r="B51" s="45"/>
      <c r="C51" s="80">
        <f t="shared" ca="1" si="0"/>
        <v>45959</v>
      </c>
      <c r="D51" s="81">
        <f ca="1">IF(Data!I51&lt;&gt;"",DATEDIF(Data!I51,C51,"m"),0)</f>
        <v>63</v>
      </c>
      <c r="E51" s="82">
        <f t="shared" ca="1" si="2"/>
        <v>5.25</v>
      </c>
      <c r="I51" s="81" t="str">
        <f>CONCATENATE(Data!M51,"-",Data!L51)</f>
        <v>CD-VA</v>
      </c>
      <c r="N51" s="81">
        <f>IF(Data!P51,DATEDIF(Data!O51,Data!P51,"d"),0)</f>
        <v>0</v>
      </c>
      <c r="O51" s="81">
        <f>IF(Data!M51="CD",1,0)</f>
        <v>1</v>
      </c>
      <c r="P51" s="81">
        <f>IF(Data!M51="CD",0,1)</f>
        <v>0</v>
      </c>
      <c r="Q51" s="81">
        <f>IF(Data!Q51&gt;Data!P51,DATEDIF(Data!P51,Data!Q51,"d"),0)</f>
        <v>0</v>
      </c>
      <c r="R51" s="81">
        <f>IF(Data!R51&gt;Data!Q51,DATEDIF(Data!Q51,Data!R51,"d"),0)</f>
        <v>0</v>
      </c>
      <c r="S51" s="45" t="s">
        <v>218</v>
      </c>
      <c r="T51" s="45">
        <f>COUNTIFS(Data!U:U,"=PROPOSITION DE SUIVI DANS PARCOURS COORDONNEES")</f>
        <v>24</v>
      </c>
      <c r="X51"/>
      <c r="Y51"/>
      <c r="Z51"/>
    </row>
    <row r="52" spans="2:26" ht="16" x14ac:dyDescent="0.2">
      <c r="B52" s="45"/>
      <c r="C52" s="80">
        <f t="shared" ca="1" si="0"/>
        <v>45959</v>
      </c>
      <c r="D52" s="81">
        <f ca="1">IF(Data!I52&lt;&gt;"",DATEDIF(Data!I52,C52,"m"),0)</f>
        <v>33</v>
      </c>
      <c r="E52" s="82">
        <f t="shared" ca="1" si="2"/>
        <v>2.75</v>
      </c>
      <c r="I52" s="81" t="str">
        <f>CONCATENATE(Data!M52,"-",Data!L52)</f>
        <v>CD-VA</v>
      </c>
      <c r="N52" s="81">
        <f>IF(Data!P52,DATEDIF(Data!O52,Data!P52,"d"),0)</f>
        <v>1</v>
      </c>
      <c r="O52" s="81">
        <f>IF(Data!M52="CD",1,0)</f>
        <v>1</v>
      </c>
      <c r="P52" s="81">
        <f>IF(Data!M52="CD",0,1)</f>
        <v>0</v>
      </c>
      <c r="Q52" s="81">
        <f>IF(Data!Q52&gt;Data!P52,DATEDIF(Data!P52,Data!Q52,"d"),0)</f>
        <v>2</v>
      </c>
      <c r="R52" s="81">
        <f>IF(Data!R52&gt;Data!Q52,DATEDIF(Data!Q52,Data!R52,"d"),0)</f>
        <v>19</v>
      </c>
      <c r="S52" s="45" t="s">
        <v>97</v>
      </c>
      <c r="T52" s="45">
        <f>COUNTIFS(Data!U:U,"=RENONCEMENT AU RSA")</f>
        <v>1</v>
      </c>
      <c r="X52"/>
      <c r="Y52"/>
      <c r="Z52"/>
    </row>
    <row r="53" spans="2:26" ht="16" x14ac:dyDescent="0.2">
      <c r="B53" s="45"/>
      <c r="C53" s="80">
        <f t="shared" ca="1" si="0"/>
        <v>45959</v>
      </c>
      <c r="D53" s="81">
        <f>IF(Data!I53&lt;&gt;"",DATEDIF(Data!I53,C53,"m"),0)</f>
        <v>0</v>
      </c>
      <c r="E53" s="82">
        <f t="shared" si="2"/>
        <v>0</v>
      </c>
      <c r="I53" s="81" t="str">
        <f>CONCATENATE(Data!M53,"-",Data!L53)</f>
        <v>ML-GE</v>
      </c>
      <c r="N53" s="81">
        <f>IF(Data!P53,DATEDIF(Data!O53,Data!P53,"d"),0)</f>
        <v>0</v>
      </c>
      <c r="O53" s="81">
        <f>IF(Data!M53="CD",1,0)</f>
        <v>0</v>
      </c>
      <c r="P53" s="81">
        <f>IF(Data!M53="CD",0,1)</f>
        <v>1</v>
      </c>
      <c r="Q53" s="81">
        <f>IF(Data!Q53&gt;Data!P53,DATEDIF(Data!P53,Data!Q53,"d"),0)</f>
        <v>0</v>
      </c>
      <c r="R53" s="81">
        <f>IF(Data!R53&gt;Data!Q53,DATEDIF(Data!Q53,Data!R53,"d"),0)</f>
        <v>0</v>
      </c>
      <c r="S53" s="45" t="s">
        <v>216</v>
      </c>
      <c r="T53" s="45">
        <f>COUNTIFS(Data!U:U,"=SUIVI PARTENAIRE SPECIALISE")</f>
        <v>12</v>
      </c>
      <c r="X53"/>
      <c r="Y53"/>
      <c r="Z53"/>
    </row>
    <row r="54" spans="2:26" ht="16" x14ac:dyDescent="0.2">
      <c r="B54" s="45"/>
      <c r="C54" s="80">
        <f t="shared" ca="1" si="0"/>
        <v>45959</v>
      </c>
      <c r="D54" s="81">
        <f ca="1">IF(Data!I54&lt;&gt;"",DATEDIF(Data!I54,C54,"m"),0)</f>
        <v>17</v>
      </c>
      <c r="E54" s="82">
        <f t="shared" ca="1" si="2"/>
        <v>1.4166666666666667</v>
      </c>
      <c r="I54" s="81" t="str">
        <f>CONCATENATE(Data!M54,"-",Data!L54)</f>
        <v>CI-GE</v>
      </c>
      <c r="N54" s="81">
        <f>IF(Data!P54,DATEDIF(Data!O54,Data!P54,"d"),0)</f>
        <v>40</v>
      </c>
      <c r="O54" s="81">
        <f>IF(Data!M54="CD",1,0)</f>
        <v>0</v>
      </c>
      <c r="P54" s="81">
        <f>IF(Data!M54="CD",0,1)</f>
        <v>1</v>
      </c>
      <c r="Q54" s="81">
        <f>IF(Data!Q54&gt;Data!P54,DATEDIF(Data!P54,Data!Q54,"d"),0)</f>
        <v>0</v>
      </c>
      <c r="R54" s="81">
        <f>IF(Data!R54&gt;Data!Q54,DATEDIF(Data!Q54,Data!R54,"d"),0)</f>
        <v>0</v>
      </c>
      <c r="S54" s="45" t="s">
        <v>99</v>
      </c>
      <c r="T54" s="45">
        <f>COUNTIFS(Data!U:U,"=SUIVI REPRIS PAR OPERATEUR HANDICAP URAPEDA")</f>
        <v>0</v>
      </c>
      <c r="X54"/>
      <c r="Y54"/>
      <c r="Z54"/>
    </row>
    <row r="55" spans="2:26" ht="16" x14ac:dyDescent="0.2">
      <c r="B55" s="45"/>
      <c r="C55" s="80">
        <f t="shared" ca="1" si="0"/>
        <v>45959</v>
      </c>
      <c r="D55" s="81">
        <f ca="1">IF(Data!I55&lt;&gt;"",DATEDIF(Data!I55,C55,"m"),0)</f>
        <v>5</v>
      </c>
      <c r="E55" s="82">
        <f t="shared" ca="1" si="2"/>
        <v>0.41666666666666669</v>
      </c>
      <c r="I55" s="81" t="str">
        <f>CONCATENATE(Data!M55,"-",Data!L55)</f>
        <v>CD-GE</v>
      </c>
      <c r="N55" s="81">
        <f>IF(Data!P55,DATEDIF(Data!O55,Data!P55,"d"),0)</f>
        <v>0</v>
      </c>
      <c r="O55" s="81">
        <f>IF(Data!M55="CD",1,0)</f>
        <v>1</v>
      </c>
      <c r="P55" s="81">
        <f>IF(Data!M55="CD",0,1)</f>
        <v>0</v>
      </c>
      <c r="Q55" s="81">
        <f>IF(Data!Q55&gt;Data!P55,DATEDIF(Data!P55,Data!Q55,"d"),0)</f>
        <v>0</v>
      </c>
      <c r="R55" s="81">
        <f>IF(Data!R55&gt;Data!Q55,DATEDIF(Data!Q55,Data!R55,"d"),0)</f>
        <v>0</v>
      </c>
      <c r="S55" s="45" t="s">
        <v>328</v>
      </c>
      <c r="T55" s="45">
        <f>COUNTIFS(Data!U:U,"=VIDE")</f>
        <v>5</v>
      </c>
      <c r="X55"/>
      <c r="Y55"/>
      <c r="Z55"/>
    </row>
    <row r="56" spans="2:26" ht="16" x14ac:dyDescent="0.2">
      <c r="B56" s="45"/>
      <c r="C56" s="80">
        <f t="shared" ca="1" si="0"/>
        <v>45959</v>
      </c>
      <c r="D56" s="81">
        <f ca="1">IF(Data!I56&lt;&gt;"",DATEDIF(Data!I56,C56,"m"),0)</f>
        <v>28</v>
      </c>
      <c r="E56" s="82">
        <f t="shared" ca="1" si="2"/>
        <v>2.3333333333333335</v>
      </c>
      <c r="I56" s="81" t="str">
        <f>CONCATENATE(Data!M56,"-",Data!L56)</f>
        <v>CD-CH</v>
      </c>
      <c r="N56" s="81">
        <f>IF(Data!P56,DATEDIF(Data!O56,Data!P56,"d"),0)</f>
        <v>7</v>
      </c>
      <c r="O56" s="81">
        <f>IF(Data!M56="CD",1,0)</f>
        <v>1</v>
      </c>
      <c r="P56" s="81">
        <f>IF(Data!M56="CD",0,1)</f>
        <v>0</v>
      </c>
      <c r="Q56" s="81">
        <f>IF(Data!Q56&gt;Data!P56,DATEDIF(Data!P56,Data!Q56,"d"),0)</f>
        <v>34</v>
      </c>
      <c r="R56" s="81">
        <f>IF(Data!R56&gt;Data!Q56,DATEDIF(Data!Q56,Data!R56,"d"),0)</f>
        <v>13</v>
      </c>
      <c r="X56"/>
      <c r="Y56"/>
      <c r="Z56"/>
    </row>
    <row r="57" spans="2:26" ht="16" x14ac:dyDescent="0.2">
      <c r="B57" s="45"/>
      <c r="C57" s="80">
        <f t="shared" ca="1" si="0"/>
        <v>45959</v>
      </c>
      <c r="D57" s="81">
        <f ca="1">IF(Data!I57&lt;&gt;"",DATEDIF(Data!I57,C57,"m"),0)</f>
        <v>100</v>
      </c>
      <c r="E57" s="82">
        <f t="shared" ca="1" si="2"/>
        <v>8.3333333333333339</v>
      </c>
      <c r="I57" s="81" t="str">
        <f>CONCATENATE(Data!M57,"-",Data!L57)</f>
        <v>CD-CH</v>
      </c>
      <c r="N57" s="81">
        <f>IF(Data!P57,DATEDIF(Data!O57,Data!P57,"d"),0)</f>
        <v>40</v>
      </c>
      <c r="O57" s="81">
        <f>IF(Data!M57="CD",1,0)</f>
        <v>1</v>
      </c>
      <c r="P57" s="81">
        <f>IF(Data!M57="CD",0,1)</f>
        <v>0</v>
      </c>
      <c r="Q57" s="81">
        <f>IF(Data!Q57&gt;Data!P57,DATEDIF(Data!P57,Data!Q57,"d"),0)</f>
        <v>0</v>
      </c>
      <c r="R57" s="81">
        <f>IF(Data!R57&gt;Data!Q57,DATEDIF(Data!Q57,Data!R57,"d"),0)</f>
        <v>16</v>
      </c>
      <c r="X57"/>
      <c r="Y57"/>
      <c r="Z57"/>
    </row>
    <row r="58" spans="2:26" ht="16" x14ac:dyDescent="0.2">
      <c r="B58" s="45"/>
      <c r="C58" s="80">
        <f t="shared" ca="1" si="0"/>
        <v>45959</v>
      </c>
      <c r="D58" s="81">
        <f ca="1">IF(Data!I58&lt;&gt;"",DATEDIF(Data!I58,C58,"m"),0)</f>
        <v>189</v>
      </c>
      <c r="E58" s="82">
        <f t="shared" ca="1" si="2"/>
        <v>15.75</v>
      </c>
      <c r="I58" s="81" t="str">
        <f>CONCATENATE(Data!M58,"-",Data!L58)</f>
        <v>CD-GE</v>
      </c>
      <c r="N58" s="81">
        <f>IF(Data!P58,DATEDIF(Data!O58,Data!P58,"d"),0)</f>
        <v>6</v>
      </c>
      <c r="O58" s="81">
        <f>IF(Data!M58="CD",1,0)</f>
        <v>1</v>
      </c>
      <c r="P58" s="81">
        <f>IF(Data!M58="CD",0,1)</f>
        <v>0</v>
      </c>
      <c r="Q58" s="81">
        <f>IF(Data!Q58&gt;Data!P58,DATEDIF(Data!P58,Data!Q58,"d"),0)</f>
        <v>1</v>
      </c>
      <c r="R58" s="81">
        <f>IF(Data!R58&gt;Data!Q58,DATEDIF(Data!Q58,Data!R58,"d"),0)</f>
        <v>22</v>
      </c>
      <c r="X58"/>
      <c r="Y58"/>
      <c r="Z58"/>
    </row>
    <row r="59" spans="2:26" ht="16" x14ac:dyDescent="0.2">
      <c r="B59" s="45"/>
      <c r="C59" s="80">
        <f t="shared" ca="1" si="0"/>
        <v>45959</v>
      </c>
      <c r="D59" s="81">
        <f ca="1">IF(Data!I59&lt;&gt;"",DATEDIF(Data!I59,C59,"m"),0)</f>
        <v>57</v>
      </c>
      <c r="E59" s="82">
        <f t="shared" ca="1" si="2"/>
        <v>4.75</v>
      </c>
      <c r="I59" s="81" t="str">
        <f>CONCATENATE(Data!M59,"-",Data!L59)</f>
        <v>CD-VA</v>
      </c>
      <c r="N59" s="81">
        <f>IF(Data!P59,DATEDIF(Data!O59,Data!P59,"d"),0)</f>
        <v>5</v>
      </c>
      <c r="O59" s="81">
        <f>IF(Data!M59="CD",1,0)</f>
        <v>1</v>
      </c>
      <c r="P59" s="81">
        <f>IF(Data!M59="CD",0,1)</f>
        <v>0</v>
      </c>
      <c r="Q59" s="81">
        <f>IF(Data!Q59&gt;Data!P59,DATEDIF(Data!P59,Data!Q59,"d"),0)</f>
        <v>2</v>
      </c>
      <c r="R59" s="81">
        <f>IF(Data!R59&gt;Data!Q59,DATEDIF(Data!Q59,Data!R59,"d"),0)</f>
        <v>19</v>
      </c>
      <c r="X59"/>
      <c r="Y59"/>
      <c r="Z59"/>
    </row>
    <row r="60" spans="2:26" ht="16" x14ac:dyDescent="0.2">
      <c r="B60" s="45"/>
      <c r="C60" s="80">
        <f t="shared" ca="1" si="0"/>
        <v>45959</v>
      </c>
      <c r="D60" s="81">
        <f ca="1">IF(Data!I60&lt;&gt;"",DATEDIF(Data!I60,C60,"m"),0)</f>
        <v>196</v>
      </c>
      <c r="E60" s="82">
        <f t="shared" ca="1" si="2"/>
        <v>16.333333333333332</v>
      </c>
      <c r="I60" s="81" t="str">
        <f>CONCATENATE(Data!M60,"-",Data!L60)</f>
        <v>CI-BA</v>
      </c>
      <c r="N60" s="81">
        <f>IF(Data!P60,DATEDIF(Data!O60,Data!P60,"d"),0)</f>
        <v>5</v>
      </c>
      <c r="O60" s="81">
        <f>IF(Data!M60="CD",1,0)</f>
        <v>0</v>
      </c>
      <c r="P60" s="81">
        <f>IF(Data!M60="CD",0,1)</f>
        <v>1</v>
      </c>
      <c r="Q60" s="81">
        <f>IF(Data!Q60&gt;Data!P60,DATEDIF(Data!P60,Data!Q60,"d"),0)</f>
        <v>0</v>
      </c>
      <c r="R60" s="81">
        <f>IF(Data!R60&gt;Data!Q60,DATEDIF(Data!Q60,Data!R60,"d"),0)</f>
        <v>6</v>
      </c>
      <c r="X60"/>
      <c r="Y60"/>
      <c r="Z60"/>
    </row>
    <row r="61" spans="2:26" ht="16" x14ac:dyDescent="0.2">
      <c r="B61" s="45"/>
      <c r="C61" s="80">
        <f t="shared" ca="1" si="0"/>
        <v>45959</v>
      </c>
      <c r="D61" s="81">
        <f ca="1">IF(Data!I61&lt;&gt;"",DATEDIF(Data!I61,C61,"m"),0)</f>
        <v>14</v>
      </c>
      <c r="E61" s="82">
        <f t="shared" ca="1" si="2"/>
        <v>1.1666666666666667</v>
      </c>
      <c r="I61" s="81" t="str">
        <f>CONCATENATE(Data!M61,"-",Data!L61)</f>
        <v>CD-GE</v>
      </c>
      <c r="N61" s="81">
        <f>IF(Data!P61,DATEDIF(Data!O61,Data!P61,"d"),0)</f>
        <v>20</v>
      </c>
      <c r="O61" s="81">
        <f>IF(Data!M61="CD",1,0)</f>
        <v>1</v>
      </c>
      <c r="P61" s="81">
        <f>IF(Data!M61="CD",0,1)</f>
        <v>0</v>
      </c>
      <c r="Q61" s="81">
        <f>IF(Data!Q61&gt;Data!P61,DATEDIF(Data!P61,Data!Q61,"d"),0)</f>
        <v>6</v>
      </c>
      <c r="R61" s="81">
        <f>IF(Data!R61&gt;Data!Q61,DATEDIF(Data!Q61,Data!R61,"d"),0)</f>
        <v>14</v>
      </c>
      <c r="X61"/>
      <c r="Y61"/>
      <c r="Z61"/>
    </row>
    <row r="62" spans="2:26" ht="16" x14ac:dyDescent="0.2">
      <c r="B62" s="45"/>
      <c r="C62" s="80">
        <f t="shared" ca="1" si="0"/>
        <v>45959</v>
      </c>
      <c r="D62" s="81">
        <f ca="1">IF(Data!I62&lt;&gt;"",DATEDIF(Data!I62,C62,"m"),0)</f>
        <v>180</v>
      </c>
      <c r="E62" s="82">
        <f t="shared" ca="1" si="2"/>
        <v>15</v>
      </c>
      <c r="I62" s="81" t="str">
        <f>CONCATENATE(Data!M62,"-",Data!L62)</f>
        <v>CD-GE</v>
      </c>
      <c r="N62" s="81">
        <f>IF(Data!P62,DATEDIF(Data!O62,Data!P62,"d"),0)</f>
        <v>0</v>
      </c>
      <c r="O62" s="81">
        <f>IF(Data!M62="CD",1,0)</f>
        <v>1</v>
      </c>
      <c r="P62" s="81">
        <f>IF(Data!M62="CD",0,1)</f>
        <v>0</v>
      </c>
      <c r="Q62" s="81">
        <f>IF(Data!Q62&gt;Data!P62,DATEDIF(Data!P62,Data!Q62,"d"),0)</f>
        <v>0</v>
      </c>
      <c r="R62" s="81">
        <f>IF(Data!R62&gt;Data!Q62,DATEDIF(Data!Q62,Data!R62,"d"),0)</f>
        <v>0</v>
      </c>
      <c r="X62"/>
      <c r="Y62"/>
      <c r="Z62"/>
    </row>
    <row r="63" spans="2:26" ht="16" x14ac:dyDescent="0.2">
      <c r="B63" s="45"/>
      <c r="C63" s="80">
        <f t="shared" ca="1" si="0"/>
        <v>45959</v>
      </c>
      <c r="D63" s="81">
        <f ca="1">IF(Data!I63&lt;&gt;"",DATEDIF(Data!I63,C63,"m"),0)</f>
        <v>77</v>
      </c>
      <c r="E63" s="82">
        <f t="shared" ca="1" si="2"/>
        <v>6.416666666666667</v>
      </c>
      <c r="I63" s="81" t="str">
        <f>CONCATENATE(Data!M63,"-",Data!L63)</f>
        <v>CD-CH</v>
      </c>
      <c r="N63" s="81">
        <f>IF(Data!P63,DATEDIF(Data!O63,Data!P63,"d"),0)</f>
        <v>0</v>
      </c>
      <c r="O63" s="81">
        <f>IF(Data!M63="CD",1,0)</f>
        <v>1</v>
      </c>
      <c r="P63" s="81">
        <f>IF(Data!M63="CD",0,1)</f>
        <v>0</v>
      </c>
      <c r="Q63" s="81">
        <f>IF(Data!Q63&gt;Data!P63,DATEDIF(Data!P63,Data!Q63,"d"),0)</f>
        <v>1</v>
      </c>
      <c r="R63" s="81">
        <f>IF(Data!R63&gt;Data!Q63,DATEDIF(Data!Q63,Data!R63,"d"),0)</f>
        <v>41</v>
      </c>
      <c r="X63"/>
      <c r="Y63"/>
      <c r="Z63"/>
    </row>
    <row r="64" spans="2:26" ht="16" x14ac:dyDescent="0.2">
      <c r="B64" s="45"/>
      <c r="C64" s="80">
        <f t="shared" ca="1" si="0"/>
        <v>45959</v>
      </c>
      <c r="D64" s="81">
        <f ca="1">IF(Data!I64&lt;&gt;"",DATEDIF(Data!I64,C64,"m"),0)</f>
        <v>29</v>
      </c>
      <c r="E64" s="82">
        <f t="shared" ca="1" si="2"/>
        <v>2.4166666666666665</v>
      </c>
      <c r="I64" s="81" t="str">
        <f>CONCATENATE(Data!M64,"-",Data!L64)</f>
        <v>CD-CH</v>
      </c>
      <c r="N64" s="81">
        <f>IF(Data!P64,DATEDIF(Data!O64,Data!P64,"d"),0)</f>
        <v>0</v>
      </c>
      <c r="O64" s="81">
        <f>IF(Data!M64="CD",1,0)</f>
        <v>1</v>
      </c>
      <c r="P64" s="81">
        <f>IF(Data!M64="CD",0,1)</f>
        <v>0</v>
      </c>
      <c r="Q64" s="81">
        <f>IF(Data!Q64&gt;Data!P64,DATEDIF(Data!P64,Data!Q64,"d"),0)</f>
        <v>1</v>
      </c>
      <c r="R64" s="81">
        <f>IF(Data!R64&gt;Data!Q64,DATEDIF(Data!Q64,Data!R64,"d"),0)</f>
        <v>27</v>
      </c>
      <c r="X64"/>
      <c r="Y64"/>
      <c r="Z64"/>
    </row>
    <row r="65" spans="2:26" ht="16" x14ac:dyDescent="0.2">
      <c r="B65" s="45"/>
      <c r="C65" s="80">
        <f t="shared" ca="1" si="0"/>
        <v>45959</v>
      </c>
      <c r="D65" s="81">
        <f ca="1">IF(Data!I65&lt;&gt;"",DATEDIF(Data!I65,C65,"m"),0)</f>
        <v>18</v>
      </c>
      <c r="E65" s="82">
        <f t="shared" ca="1" si="2"/>
        <v>1.5</v>
      </c>
      <c r="I65" s="81" t="str">
        <f>CONCATENATE(Data!M65,"-",Data!L65)</f>
        <v>CD-GE</v>
      </c>
      <c r="N65" s="81">
        <f>IF(Data!P65,DATEDIF(Data!O65,Data!P65,"d"),0)</f>
        <v>44</v>
      </c>
      <c r="O65" s="81">
        <f>IF(Data!M65="CD",1,0)</f>
        <v>1</v>
      </c>
      <c r="P65" s="81">
        <f>IF(Data!M65="CD",0,1)</f>
        <v>0</v>
      </c>
      <c r="Q65" s="81">
        <f>IF(Data!Q65&gt;Data!P65,DATEDIF(Data!P65,Data!Q65,"d"),0)</f>
        <v>1</v>
      </c>
      <c r="R65" s="81">
        <f>IF(Data!R65&gt;Data!Q65,DATEDIF(Data!Q65,Data!R65,"d"),0)</f>
        <v>5</v>
      </c>
      <c r="X65"/>
      <c r="Y65"/>
      <c r="Z65"/>
    </row>
    <row r="66" spans="2:26" ht="16" x14ac:dyDescent="0.2">
      <c r="B66" s="45"/>
      <c r="C66" s="80">
        <f t="shared" ref="C66:C129" ca="1" si="3">TODAY()</f>
        <v>45959</v>
      </c>
      <c r="D66" s="81">
        <f ca="1">IF(Data!I66&lt;&gt;"",DATEDIF(Data!I66,C66,"m"),0)</f>
        <v>107</v>
      </c>
      <c r="E66" s="82">
        <f t="shared" ca="1" si="2"/>
        <v>8.9166666666666661</v>
      </c>
      <c r="I66" s="81" t="str">
        <f>CONCATENATE(Data!M66,"-",Data!L66)</f>
        <v>CD-BA</v>
      </c>
      <c r="N66" s="81">
        <f>IF(Data!P66,DATEDIF(Data!O66,Data!P66,"d"),0)</f>
        <v>0</v>
      </c>
      <c r="O66" s="81">
        <f>IF(Data!M66="CD",1,0)</f>
        <v>1</v>
      </c>
      <c r="P66" s="81">
        <f>IF(Data!M66="CD",0,1)</f>
        <v>0</v>
      </c>
      <c r="Q66" s="81">
        <f>IF(Data!Q66&gt;Data!P66,DATEDIF(Data!P66,Data!Q66,"d"),0)</f>
        <v>8</v>
      </c>
      <c r="R66" s="81">
        <f>IF(Data!R66&gt;Data!Q66,DATEDIF(Data!Q66,Data!R66,"d"),0)</f>
        <v>15</v>
      </c>
      <c r="X66"/>
      <c r="Y66"/>
      <c r="Z66"/>
    </row>
    <row r="67" spans="2:26" ht="16" x14ac:dyDescent="0.2">
      <c r="B67" s="45"/>
      <c r="C67" s="80">
        <f t="shared" ca="1" si="3"/>
        <v>45959</v>
      </c>
      <c r="D67" s="81">
        <f ca="1">IF(Data!I67&lt;&gt;"",DATEDIF(Data!I67,C67,"m"),0)</f>
        <v>34</v>
      </c>
      <c r="E67" s="82">
        <f t="shared" ref="E67:E130" ca="1" si="4">D67/12</f>
        <v>2.8333333333333335</v>
      </c>
      <c r="I67" s="81" t="str">
        <f>CONCATENATE(Data!M67,"-",Data!L67)</f>
        <v>CD-BA</v>
      </c>
      <c r="N67" s="81">
        <f>IF(Data!P67,DATEDIF(Data!O67,Data!P67,"d"),0)</f>
        <v>0</v>
      </c>
      <c r="O67" s="81">
        <f>IF(Data!M67="CD",1,0)</f>
        <v>1</v>
      </c>
      <c r="P67" s="81">
        <f>IF(Data!M67="CD",0,1)</f>
        <v>0</v>
      </c>
      <c r="Q67" s="81">
        <f>IF(Data!Q67&gt;Data!P67,DATEDIF(Data!P67,Data!Q67,"d"),0)</f>
        <v>0</v>
      </c>
      <c r="R67" s="81">
        <f>IF(Data!R67&gt;Data!Q67,DATEDIF(Data!Q67,Data!R67,"d"),0)</f>
        <v>8</v>
      </c>
      <c r="X67"/>
      <c r="Y67"/>
      <c r="Z67"/>
    </row>
    <row r="68" spans="2:26" ht="16" x14ac:dyDescent="0.2">
      <c r="B68" s="45"/>
      <c r="C68" s="80">
        <f t="shared" ca="1" si="3"/>
        <v>45959</v>
      </c>
      <c r="D68" s="81">
        <f ca="1">IF(Data!I68&lt;&gt;"",DATEDIF(Data!I68,C68,"m"),0)</f>
        <v>201</v>
      </c>
      <c r="E68" s="82">
        <f t="shared" ca="1" si="4"/>
        <v>16.75</v>
      </c>
      <c r="I68" s="81" t="str">
        <f>CONCATENATE(Data!M68,"-",Data!L68)</f>
        <v>CD-GE</v>
      </c>
      <c r="N68" s="81">
        <f>IF(Data!P68,DATEDIF(Data!O68,Data!P68,"d"),0)</f>
        <v>0</v>
      </c>
      <c r="O68" s="81">
        <f>IF(Data!M68="CD",1,0)</f>
        <v>1</v>
      </c>
      <c r="P68" s="81">
        <f>IF(Data!M68="CD",0,1)</f>
        <v>0</v>
      </c>
      <c r="Q68" s="81">
        <f>IF(Data!Q68&gt;Data!P68,DATEDIF(Data!P68,Data!Q68,"d"),0)</f>
        <v>0</v>
      </c>
      <c r="R68" s="81">
        <f>IF(Data!R68&gt;Data!Q68,DATEDIF(Data!Q68,Data!R68,"d"),0)</f>
        <v>0</v>
      </c>
      <c r="X68"/>
      <c r="Y68"/>
      <c r="Z68"/>
    </row>
    <row r="69" spans="2:26" ht="16" x14ac:dyDescent="0.2">
      <c r="B69" s="45"/>
      <c r="C69" s="80">
        <f t="shared" ca="1" si="3"/>
        <v>45959</v>
      </c>
      <c r="D69" s="81">
        <f ca="1">IF(Data!I69&lt;&gt;"",DATEDIF(Data!I69,C69,"m"),0)</f>
        <v>1</v>
      </c>
      <c r="E69" s="82">
        <f t="shared" ca="1" si="4"/>
        <v>8.3333333333333329E-2</v>
      </c>
      <c r="I69" s="81" t="str">
        <f>CONCATENATE(Data!M69,"-",Data!L69)</f>
        <v>CD-BA</v>
      </c>
      <c r="N69" s="81">
        <f>IF(Data!P69,DATEDIF(Data!O69,Data!P69,"d"),0)</f>
        <v>0</v>
      </c>
      <c r="O69" s="81">
        <f>IF(Data!M69="CD",1,0)</f>
        <v>1</v>
      </c>
      <c r="P69" s="81">
        <f>IF(Data!M69="CD",0,1)</f>
        <v>0</v>
      </c>
      <c r="Q69" s="81">
        <f>IF(Data!Q69&gt;Data!P69,DATEDIF(Data!P69,Data!Q69,"d"),0)</f>
        <v>0</v>
      </c>
      <c r="R69" s="81">
        <f>IF(Data!R69&gt;Data!Q69,DATEDIF(Data!Q69,Data!R69,"d"),0)</f>
        <v>0</v>
      </c>
      <c r="X69"/>
      <c r="Y69"/>
      <c r="Z69"/>
    </row>
    <row r="70" spans="2:26" ht="16" x14ac:dyDescent="0.2">
      <c r="B70" s="45"/>
      <c r="C70" s="80">
        <f t="shared" ca="1" si="3"/>
        <v>45959</v>
      </c>
      <c r="D70" s="81">
        <f ca="1">IF(Data!I70&lt;&gt;"",DATEDIF(Data!I70,C70,"m"),0)</f>
        <v>13</v>
      </c>
      <c r="E70" s="82">
        <f t="shared" ca="1" si="4"/>
        <v>1.0833333333333333</v>
      </c>
      <c r="I70" s="81" t="str">
        <f>CONCATENATE(Data!M70,"-",Data!L70)</f>
        <v>CD-BA</v>
      </c>
      <c r="N70" s="81">
        <f>IF(Data!P70,DATEDIF(Data!O70,Data!P70,"d"),0)</f>
        <v>3</v>
      </c>
      <c r="O70" s="81">
        <f>IF(Data!M70="CD",1,0)</f>
        <v>1</v>
      </c>
      <c r="P70" s="81">
        <f>IF(Data!M70="CD",0,1)</f>
        <v>0</v>
      </c>
      <c r="Q70" s="81">
        <f>IF(Data!Q70&gt;Data!P70,DATEDIF(Data!P70,Data!Q70,"d"),0)</f>
        <v>1</v>
      </c>
      <c r="R70" s="81">
        <f>IF(Data!R70&gt;Data!Q70,DATEDIF(Data!Q70,Data!R70,"d"),0)</f>
        <v>20</v>
      </c>
      <c r="X70"/>
      <c r="Y70"/>
      <c r="Z70"/>
    </row>
    <row r="71" spans="2:26" ht="16" x14ac:dyDescent="0.2">
      <c r="B71" s="45"/>
      <c r="C71" s="80">
        <f t="shared" ca="1" si="3"/>
        <v>45959</v>
      </c>
      <c r="D71" s="81">
        <f ca="1">IF(Data!I71&lt;&gt;"",DATEDIF(Data!I71,C71,"m"),0)</f>
        <v>64</v>
      </c>
      <c r="E71" s="82">
        <f t="shared" ca="1" si="4"/>
        <v>5.333333333333333</v>
      </c>
      <c r="I71" s="81" t="str">
        <f>CONCATENATE(Data!M71,"-",Data!L71)</f>
        <v>CD-CH</v>
      </c>
      <c r="N71" s="81">
        <f>IF(Data!P71,DATEDIF(Data!O71,Data!P71,"d"),0)</f>
        <v>0</v>
      </c>
      <c r="O71" s="81">
        <f>IF(Data!M71="CD",1,0)</f>
        <v>1</v>
      </c>
      <c r="P71" s="81">
        <f>IF(Data!M71="CD",0,1)</f>
        <v>0</v>
      </c>
      <c r="Q71" s="81">
        <f>IF(Data!Q71&gt;Data!P71,DATEDIF(Data!P71,Data!Q71,"d"),0)</f>
        <v>25</v>
      </c>
      <c r="R71" s="81">
        <f>IF(Data!R71&gt;Data!Q71,DATEDIF(Data!Q71,Data!R71,"d"),0)</f>
        <v>9</v>
      </c>
      <c r="X71"/>
      <c r="Y71"/>
      <c r="Z71"/>
    </row>
    <row r="72" spans="2:26" ht="16" x14ac:dyDescent="0.2">
      <c r="B72" s="45"/>
      <c r="C72" s="80">
        <f t="shared" ca="1" si="3"/>
        <v>45959</v>
      </c>
      <c r="D72" s="81">
        <f ca="1">IF(Data!I72&lt;&gt;"",DATEDIF(Data!I72,C72,"m"),0)</f>
        <v>80</v>
      </c>
      <c r="E72" s="82">
        <f t="shared" ca="1" si="4"/>
        <v>6.666666666666667</v>
      </c>
      <c r="I72" s="81" t="str">
        <f>CONCATENATE(Data!M72,"-",Data!L72)</f>
        <v>CD-BA</v>
      </c>
      <c r="N72" s="81">
        <f>IF(Data!P72,DATEDIF(Data!O72,Data!P72,"d"),0)</f>
        <v>9</v>
      </c>
      <c r="O72" s="81">
        <f>IF(Data!M72="CD",1,0)</f>
        <v>1</v>
      </c>
      <c r="P72" s="81">
        <f>IF(Data!M72="CD",0,1)</f>
        <v>0</v>
      </c>
      <c r="Q72" s="81">
        <f>IF(Data!Q72&gt;Data!P72,DATEDIF(Data!P72,Data!Q72,"d"),0)</f>
        <v>0</v>
      </c>
      <c r="R72" s="81">
        <f>IF(Data!R72&gt;Data!Q72,DATEDIF(Data!Q72,Data!R72,"d"),0)</f>
        <v>5</v>
      </c>
      <c r="X72"/>
      <c r="Y72"/>
      <c r="Z72"/>
    </row>
    <row r="73" spans="2:26" ht="16" x14ac:dyDescent="0.2">
      <c r="B73" s="45"/>
      <c r="C73" s="80">
        <f t="shared" ca="1" si="3"/>
        <v>45959</v>
      </c>
      <c r="D73" s="81">
        <f ca="1">IF(Data!I73&lt;&gt;"",DATEDIF(Data!I73,C73,"m"),0)</f>
        <v>118</v>
      </c>
      <c r="E73" s="82">
        <f t="shared" ca="1" si="4"/>
        <v>9.8333333333333339</v>
      </c>
      <c r="I73" s="81" t="str">
        <f>CONCATENATE(Data!M73,"-",Data!L73)</f>
        <v>CD-GE</v>
      </c>
      <c r="N73" s="81">
        <f>IF(Data!P73,DATEDIF(Data!O73,Data!P73,"d"),0)</f>
        <v>1</v>
      </c>
      <c r="O73" s="81">
        <f>IF(Data!M73="CD",1,0)</f>
        <v>1</v>
      </c>
      <c r="P73" s="81">
        <f>IF(Data!M73="CD",0,1)</f>
        <v>0</v>
      </c>
      <c r="Q73" s="81">
        <f>IF(Data!Q73&gt;Data!P73,DATEDIF(Data!P73,Data!Q73,"d"),0)</f>
        <v>104</v>
      </c>
      <c r="R73" s="81">
        <f>IF(Data!R73&gt;Data!Q73,DATEDIF(Data!Q73,Data!R73,"d"),0)</f>
        <v>6</v>
      </c>
      <c r="X73"/>
      <c r="Y73"/>
      <c r="Z73"/>
    </row>
    <row r="74" spans="2:26" ht="16" x14ac:dyDescent="0.2">
      <c r="B74" s="45"/>
      <c r="C74" s="80">
        <f t="shared" ca="1" si="3"/>
        <v>45959</v>
      </c>
      <c r="D74" s="81">
        <f ca="1">IF(Data!I74&lt;&gt;"",DATEDIF(Data!I74,C74,"m"),0)</f>
        <v>147</v>
      </c>
      <c r="E74" s="82">
        <f t="shared" ca="1" si="4"/>
        <v>12.25</v>
      </c>
      <c r="I74" s="81" t="str">
        <f>CONCATENATE(Data!M74,"-",Data!L74)</f>
        <v>CI-BA</v>
      </c>
      <c r="N74" s="81">
        <f>IF(Data!P74,DATEDIF(Data!O74,Data!P74,"d"),0)</f>
        <v>1</v>
      </c>
      <c r="O74" s="81">
        <f>IF(Data!M74="CD",1,0)</f>
        <v>0</v>
      </c>
      <c r="P74" s="81">
        <f>IF(Data!M74="CD",0,1)</f>
        <v>1</v>
      </c>
      <c r="Q74" s="81">
        <f>IF(Data!Q74&gt;Data!P74,DATEDIF(Data!P74,Data!Q74,"d"),0)</f>
        <v>5</v>
      </c>
      <c r="R74" s="81">
        <f>IF(Data!R74&gt;Data!Q74,DATEDIF(Data!Q74,Data!R74,"d"),0)</f>
        <v>15</v>
      </c>
      <c r="X74"/>
      <c r="Y74"/>
      <c r="Z74"/>
    </row>
    <row r="75" spans="2:26" ht="16" x14ac:dyDescent="0.2">
      <c r="B75" s="45"/>
      <c r="C75" s="80">
        <f t="shared" ca="1" si="3"/>
        <v>45959</v>
      </c>
      <c r="D75" s="81">
        <f ca="1">IF(Data!I75&lt;&gt;"",DATEDIF(Data!I75,C75,"m"),0)</f>
        <v>81</v>
      </c>
      <c r="E75" s="82">
        <f t="shared" ca="1" si="4"/>
        <v>6.75</v>
      </c>
      <c r="I75" s="81" t="str">
        <f>CONCATENATE(Data!M75,"-",Data!L75)</f>
        <v>CD-BA</v>
      </c>
      <c r="N75" s="81">
        <f>IF(Data!P75,DATEDIF(Data!O75,Data!P75,"d"),0)</f>
        <v>0</v>
      </c>
      <c r="O75" s="81">
        <f>IF(Data!M75="CD",1,0)</f>
        <v>1</v>
      </c>
      <c r="P75" s="81">
        <f>IF(Data!M75="CD",0,1)</f>
        <v>0</v>
      </c>
      <c r="Q75" s="81">
        <f>IF(Data!Q75&gt;Data!P75,DATEDIF(Data!P75,Data!Q75,"d"),0)</f>
        <v>0</v>
      </c>
      <c r="R75" s="81">
        <f>IF(Data!R75&gt;Data!Q75,DATEDIF(Data!Q75,Data!R75,"d"),0)</f>
        <v>0</v>
      </c>
      <c r="X75"/>
      <c r="Y75"/>
      <c r="Z75"/>
    </row>
    <row r="76" spans="2:26" ht="16" x14ac:dyDescent="0.2">
      <c r="B76" s="45"/>
      <c r="C76" s="80">
        <f t="shared" ca="1" si="3"/>
        <v>45959</v>
      </c>
      <c r="D76" s="81">
        <f ca="1">IF(Data!I76&lt;&gt;"",DATEDIF(Data!I76,C76,"m"),0)</f>
        <v>93</v>
      </c>
      <c r="E76" s="82">
        <f t="shared" ca="1" si="4"/>
        <v>7.75</v>
      </c>
      <c r="I76" s="81" t="str">
        <f>CONCATENATE(Data!M76,"-",Data!L76)</f>
        <v>CD-GE</v>
      </c>
      <c r="N76" s="81">
        <f>IF(Data!P76,DATEDIF(Data!O76,Data!P76,"d"),0)</f>
        <v>54</v>
      </c>
      <c r="O76" s="81">
        <f>IF(Data!M76="CD",1,0)</f>
        <v>1</v>
      </c>
      <c r="P76" s="81">
        <f>IF(Data!M76="CD",0,1)</f>
        <v>0</v>
      </c>
      <c r="Q76" s="81">
        <f>IF(Data!Q76&gt;Data!P76,DATEDIF(Data!P76,Data!Q76,"d"),0)</f>
        <v>0</v>
      </c>
      <c r="R76" s="81">
        <f>IF(Data!R76&gt;Data!Q76,DATEDIF(Data!Q76,Data!R76,"d"),0)</f>
        <v>0</v>
      </c>
      <c r="X76"/>
      <c r="Y76"/>
      <c r="Z76"/>
    </row>
    <row r="77" spans="2:26" ht="16" x14ac:dyDescent="0.2">
      <c r="B77" s="45"/>
      <c r="C77" s="80">
        <f t="shared" ca="1" si="3"/>
        <v>45959</v>
      </c>
      <c r="D77" s="81">
        <f ca="1">IF(Data!I77&lt;&gt;"",DATEDIF(Data!I77,C77,"m"),0)</f>
        <v>4</v>
      </c>
      <c r="E77" s="82">
        <f t="shared" ca="1" si="4"/>
        <v>0.33333333333333331</v>
      </c>
      <c r="I77" s="81" t="str">
        <f>CONCATENATE(Data!M77,"-",Data!L77)</f>
        <v>CD-GE</v>
      </c>
      <c r="N77" s="81">
        <f>IF(Data!P77,DATEDIF(Data!O77,Data!P77,"d"),0)</f>
        <v>33</v>
      </c>
      <c r="O77" s="81">
        <f>IF(Data!M77="CD",1,0)</f>
        <v>1</v>
      </c>
      <c r="P77" s="81">
        <f>IF(Data!M77="CD",0,1)</f>
        <v>0</v>
      </c>
      <c r="Q77" s="81">
        <f>IF(Data!Q77&gt;Data!P77,DATEDIF(Data!P77,Data!Q77,"d"),0)</f>
        <v>1</v>
      </c>
      <c r="R77" s="81">
        <f>IF(Data!R77&gt;Data!Q77,DATEDIF(Data!Q77,Data!R77,"d"),0)</f>
        <v>14</v>
      </c>
      <c r="X77"/>
      <c r="Y77"/>
      <c r="Z77"/>
    </row>
    <row r="78" spans="2:26" ht="16" x14ac:dyDescent="0.2">
      <c r="B78" s="45"/>
      <c r="C78" s="80">
        <f t="shared" ca="1" si="3"/>
        <v>45959</v>
      </c>
      <c r="D78" s="81">
        <f ca="1">IF(Data!I78&lt;&gt;"",DATEDIF(Data!I78,C78,"m"),0)</f>
        <v>196</v>
      </c>
      <c r="E78" s="82">
        <f t="shared" ca="1" si="4"/>
        <v>16.333333333333332</v>
      </c>
      <c r="I78" s="81" t="str">
        <f>CONCATENATE(Data!M78,"-",Data!L78)</f>
        <v>CD-CH</v>
      </c>
      <c r="N78" s="81">
        <f>IF(Data!P78,DATEDIF(Data!O78,Data!P78,"d"),0)</f>
        <v>4</v>
      </c>
      <c r="O78" s="81">
        <f>IF(Data!M78="CD",1,0)</f>
        <v>1</v>
      </c>
      <c r="P78" s="81">
        <f>IF(Data!M78="CD",0,1)</f>
        <v>0</v>
      </c>
      <c r="Q78" s="81">
        <f>IF(Data!Q78&gt;Data!P78,DATEDIF(Data!P78,Data!Q78,"d"),0)</f>
        <v>0</v>
      </c>
      <c r="R78" s="81">
        <f>IF(Data!R78&gt;Data!Q78,DATEDIF(Data!Q78,Data!R78,"d"),0)</f>
        <v>9</v>
      </c>
      <c r="X78"/>
      <c r="Y78"/>
      <c r="Z78"/>
    </row>
    <row r="79" spans="2:26" ht="16" x14ac:dyDescent="0.2">
      <c r="B79" s="45"/>
      <c r="C79" s="80">
        <f t="shared" ca="1" si="3"/>
        <v>45959</v>
      </c>
      <c r="D79" s="81">
        <f ca="1">IF(Data!I79&lt;&gt;"",DATEDIF(Data!I79,C79,"m"),0)</f>
        <v>52</v>
      </c>
      <c r="E79" s="82">
        <f t="shared" ca="1" si="4"/>
        <v>4.333333333333333</v>
      </c>
      <c r="I79" s="81" t="str">
        <f>CONCATENATE(Data!M79,"-",Data!L79)</f>
        <v>CI-VA</v>
      </c>
      <c r="N79" s="81">
        <f>IF(Data!P79,DATEDIF(Data!O79,Data!P79,"d"),0)</f>
        <v>19</v>
      </c>
      <c r="O79" s="81">
        <f>IF(Data!M79="CD",1,0)</f>
        <v>0</v>
      </c>
      <c r="P79" s="81">
        <f>IF(Data!M79="CD",0,1)</f>
        <v>1</v>
      </c>
      <c r="Q79" s="81">
        <f>IF(Data!Q79&gt;Data!P79,DATEDIF(Data!P79,Data!Q79,"d"),0)</f>
        <v>13</v>
      </c>
      <c r="R79" s="81">
        <f>IF(Data!R79&gt;Data!Q79,DATEDIF(Data!Q79,Data!R79,"d"),0)</f>
        <v>31</v>
      </c>
      <c r="X79"/>
      <c r="Y79"/>
      <c r="Z79"/>
    </row>
    <row r="80" spans="2:26" ht="16" x14ac:dyDescent="0.2">
      <c r="B80" s="45"/>
      <c r="C80" s="80">
        <f t="shared" ca="1" si="3"/>
        <v>45959</v>
      </c>
      <c r="D80" s="81">
        <f ca="1">IF(Data!I80&lt;&gt;"",DATEDIF(Data!I80,C80,"m"),0)</f>
        <v>147</v>
      </c>
      <c r="E80" s="82">
        <f t="shared" ca="1" si="4"/>
        <v>12.25</v>
      </c>
      <c r="I80" s="81" t="str">
        <f>CONCATENATE(Data!M80,"-",Data!L80)</f>
        <v>CI-GE</v>
      </c>
      <c r="N80" s="81">
        <f>IF(Data!P80,DATEDIF(Data!O80,Data!P80,"d"),0)</f>
        <v>12</v>
      </c>
      <c r="O80" s="81">
        <f>IF(Data!M80="CD",1,0)</f>
        <v>0</v>
      </c>
      <c r="P80" s="81">
        <f>IF(Data!M80="CD",0,1)</f>
        <v>1</v>
      </c>
      <c r="Q80" s="81">
        <f>IF(Data!Q80&gt;Data!P80,DATEDIF(Data!P80,Data!Q80,"d"),0)</f>
        <v>55</v>
      </c>
      <c r="R80" s="81">
        <f>IF(Data!R80&gt;Data!Q80,DATEDIF(Data!Q80,Data!R80,"d"),0)</f>
        <v>6</v>
      </c>
      <c r="X80"/>
      <c r="Y80"/>
      <c r="Z80"/>
    </row>
    <row r="81" spans="2:26" ht="16" x14ac:dyDescent="0.2">
      <c r="B81" s="45"/>
      <c r="C81" s="80">
        <f t="shared" ca="1" si="3"/>
        <v>45959</v>
      </c>
      <c r="D81" s="81">
        <f ca="1">IF(Data!I81&lt;&gt;"",DATEDIF(Data!I81,C81,"m"),0)</f>
        <v>58</v>
      </c>
      <c r="E81" s="82">
        <f t="shared" ca="1" si="4"/>
        <v>4.833333333333333</v>
      </c>
      <c r="I81" s="81" t="str">
        <f>CONCATENATE(Data!M81,"-",Data!L81)</f>
        <v>CD-BA</v>
      </c>
      <c r="N81" s="81">
        <f>IF(Data!P81,DATEDIF(Data!O81,Data!P81,"d"),0)</f>
        <v>13</v>
      </c>
      <c r="O81" s="81">
        <f>IF(Data!M81="CD",1,0)</f>
        <v>1</v>
      </c>
      <c r="P81" s="81">
        <f>IF(Data!M81="CD",0,1)</f>
        <v>0</v>
      </c>
      <c r="Q81" s="81">
        <f>IF(Data!Q81&gt;Data!P81,DATEDIF(Data!P81,Data!Q81,"d"),0)</f>
        <v>4</v>
      </c>
      <c r="R81" s="81">
        <f>IF(Data!R81&gt;Data!Q81,DATEDIF(Data!Q81,Data!R81,"d"),0)</f>
        <v>0</v>
      </c>
      <c r="X81"/>
      <c r="Y81"/>
      <c r="Z81"/>
    </row>
    <row r="82" spans="2:26" ht="16" x14ac:dyDescent="0.2">
      <c r="B82" s="45"/>
      <c r="C82" s="80">
        <f t="shared" ca="1" si="3"/>
        <v>45959</v>
      </c>
      <c r="D82" s="81">
        <f ca="1">IF(Data!I82&lt;&gt;"",DATEDIF(Data!I82,C82,"m"),0)</f>
        <v>91</v>
      </c>
      <c r="E82" s="82">
        <f t="shared" ca="1" si="4"/>
        <v>7.583333333333333</v>
      </c>
      <c r="I82" s="81" t="str">
        <f>CONCATENATE(Data!M82,"-",Data!L82)</f>
        <v>CD-GE</v>
      </c>
      <c r="N82" s="81">
        <f>IF(Data!P82,DATEDIF(Data!O82,Data!P82,"d"),0)</f>
        <v>68</v>
      </c>
      <c r="O82" s="81">
        <f>IF(Data!M82="CD",1,0)</f>
        <v>1</v>
      </c>
      <c r="P82" s="81">
        <f>IF(Data!M82="CD",0,1)</f>
        <v>0</v>
      </c>
      <c r="Q82" s="81">
        <f>IF(Data!Q82&gt;Data!P82,DATEDIF(Data!P82,Data!Q82,"d"),0)</f>
        <v>0</v>
      </c>
      <c r="R82" s="81">
        <f>IF(Data!R82&gt;Data!Q82,DATEDIF(Data!Q82,Data!R82,"d"),0)</f>
        <v>3</v>
      </c>
      <c r="X82"/>
      <c r="Y82"/>
      <c r="Z82"/>
    </row>
    <row r="83" spans="2:26" ht="16" x14ac:dyDescent="0.2">
      <c r="B83" s="45"/>
      <c r="C83" s="80">
        <f t="shared" ca="1" si="3"/>
        <v>45959</v>
      </c>
      <c r="D83" s="81">
        <f ca="1">IF(Data!I83&lt;&gt;"",DATEDIF(Data!I83,C83,"m"),0)</f>
        <v>10</v>
      </c>
      <c r="E83" s="82">
        <f t="shared" ca="1" si="4"/>
        <v>0.83333333333333337</v>
      </c>
      <c r="I83" s="81" t="str">
        <f>CONCATENATE(Data!M83,"-",Data!L83)</f>
        <v>CD-GE</v>
      </c>
      <c r="N83" s="81">
        <f>IF(Data!P83,DATEDIF(Data!O83,Data!P83,"d"),0)</f>
        <v>15</v>
      </c>
      <c r="O83" s="81">
        <f>IF(Data!M83="CD",1,0)</f>
        <v>1</v>
      </c>
      <c r="P83" s="81">
        <f>IF(Data!M83="CD",0,1)</f>
        <v>0</v>
      </c>
      <c r="Q83" s="81">
        <f>IF(Data!Q83&gt;Data!P83,DATEDIF(Data!P83,Data!Q83,"d"),0)</f>
        <v>0</v>
      </c>
      <c r="R83" s="81">
        <f>IF(Data!R83&gt;Data!Q83,DATEDIF(Data!Q83,Data!R83,"d"),0)</f>
        <v>0</v>
      </c>
      <c r="X83"/>
      <c r="Y83"/>
      <c r="Z83"/>
    </row>
    <row r="84" spans="2:26" ht="16" x14ac:dyDescent="0.2">
      <c r="B84" s="45"/>
      <c r="C84" s="80">
        <f t="shared" ca="1" si="3"/>
        <v>45959</v>
      </c>
      <c r="D84" s="81">
        <f>IF(Data!I84&lt;&gt;"",DATEDIF(Data!I84,C84,"m"),0)</f>
        <v>0</v>
      </c>
      <c r="E84" s="82">
        <f t="shared" si="4"/>
        <v>0</v>
      </c>
      <c r="I84" s="81" t="str">
        <f>CONCATENATE(Data!M84,"-",Data!L84)</f>
        <v>ML-CH</v>
      </c>
      <c r="N84" s="81">
        <f>IF(Data!P84,DATEDIF(Data!O84,Data!P84,"d"),0)</f>
        <v>21</v>
      </c>
      <c r="O84" s="81">
        <f>IF(Data!M84="CD",1,0)</f>
        <v>0</v>
      </c>
      <c r="P84" s="81">
        <f>IF(Data!M84="CD",0,1)</f>
        <v>1</v>
      </c>
      <c r="Q84" s="81">
        <f>IF(Data!Q84&gt;Data!P84,DATEDIF(Data!P84,Data!Q84,"d"),0)</f>
        <v>28</v>
      </c>
      <c r="R84" s="81">
        <f>IF(Data!R84&gt;Data!Q84,DATEDIF(Data!Q84,Data!R84,"d"),0)</f>
        <v>28</v>
      </c>
      <c r="X84"/>
      <c r="Y84"/>
      <c r="Z84"/>
    </row>
    <row r="85" spans="2:26" ht="16" x14ac:dyDescent="0.2">
      <c r="B85" s="45"/>
      <c r="C85" s="80">
        <f t="shared" ca="1" si="3"/>
        <v>45959</v>
      </c>
      <c r="D85" s="81">
        <f ca="1">IF(Data!I85&lt;&gt;"",DATEDIF(Data!I85,C85,"m"),0)</f>
        <v>21</v>
      </c>
      <c r="E85" s="82">
        <f t="shared" ca="1" si="4"/>
        <v>1.75</v>
      </c>
      <c r="I85" s="81" t="str">
        <f>CONCATENATE(Data!M85,"-",Data!L85)</f>
        <v>CI-GE</v>
      </c>
      <c r="N85" s="81">
        <f>IF(Data!P85,DATEDIF(Data!O85,Data!P85,"d"),0)</f>
        <v>17</v>
      </c>
      <c r="O85" s="81">
        <f>IF(Data!M85="CD",1,0)</f>
        <v>0</v>
      </c>
      <c r="P85" s="81">
        <f>IF(Data!M85="CD",0,1)</f>
        <v>1</v>
      </c>
      <c r="Q85" s="81">
        <f>IF(Data!Q85&gt;Data!P85,DATEDIF(Data!P85,Data!Q85,"d"),0)</f>
        <v>4</v>
      </c>
      <c r="R85" s="81">
        <f>IF(Data!R85&gt;Data!Q85,DATEDIF(Data!Q85,Data!R85,"d"),0)</f>
        <v>34</v>
      </c>
      <c r="X85"/>
      <c r="Y85"/>
      <c r="Z85"/>
    </row>
    <row r="86" spans="2:26" ht="16" x14ac:dyDescent="0.2">
      <c r="B86" s="45"/>
      <c r="C86" s="80">
        <f t="shared" ca="1" si="3"/>
        <v>45959</v>
      </c>
      <c r="D86" s="81">
        <f ca="1">IF(Data!I86&lt;&gt;"",DATEDIF(Data!I86,C86,"m"),0)</f>
        <v>117</v>
      </c>
      <c r="E86" s="82">
        <f t="shared" ca="1" si="4"/>
        <v>9.75</v>
      </c>
      <c r="I86" s="81" t="str">
        <f>CONCATENATE(Data!M86,"-",Data!L86)</f>
        <v>CD-BA</v>
      </c>
      <c r="N86" s="81">
        <f>IF(Data!P86,DATEDIF(Data!O86,Data!P86,"d"),0)</f>
        <v>0</v>
      </c>
      <c r="O86" s="81">
        <f>IF(Data!M86="CD",1,0)</f>
        <v>1</v>
      </c>
      <c r="P86" s="81">
        <f>IF(Data!M86="CD",0,1)</f>
        <v>0</v>
      </c>
      <c r="Q86" s="81">
        <f>IF(Data!Q86&gt;Data!P86,DATEDIF(Data!P86,Data!Q86,"d"),0)</f>
        <v>0</v>
      </c>
      <c r="R86" s="81">
        <f>IF(Data!R86&gt;Data!Q86,DATEDIF(Data!Q86,Data!R86,"d"),0)</f>
        <v>0</v>
      </c>
      <c r="X86"/>
      <c r="Y86"/>
      <c r="Z86"/>
    </row>
    <row r="87" spans="2:26" ht="16" x14ac:dyDescent="0.2">
      <c r="B87" s="45"/>
      <c r="C87" s="80">
        <f t="shared" ca="1" si="3"/>
        <v>45959</v>
      </c>
      <c r="D87" s="81">
        <f ca="1">IF(Data!I87&lt;&gt;"",DATEDIF(Data!I87,C87,"m"),0)</f>
        <v>4</v>
      </c>
      <c r="E87" s="82">
        <f t="shared" ca="1" si="4"/>
        <v>0.33333333333333331</v>
      </c>
      <c r="I87" s="81" t="str">
        <f>CONCATENATE(Data!M87,"-",Data!L87)</f>
        <v>CD-BA</v>
      </c>
      <c r="N87" s="81">
        <f>IF(Data!P87,DATEDIF(Data!O87,Data!P87,"d"),0)</f>
        <v>1</v>
      </c>
      <c r="O87" s="81">
        <f>IF(Data!M87="CD",1,0)</f>
        <v>1</v>
      </c>
      <c r="P87" s="81">
        <f>IF(Data!M87="CD",0,1)</f>
        <v>0</v>
      </c>
      <c r="Q87" s="81">
        <f>IF(Data!Q87&gt;Data!P87,DATEDIF(Data!P87,Data!Q87,"d"),0)</f>
        <v>0</v>
      </c>
      <c r="R87" s="81">
        <f>IF(Data!R87&gt;Data!Q87,DATEDIF(Data!Q87,Data!R87,"d"),0)</f>
        <v>7</v>
      </c>
      <c r="X87"/>
      <c r="Y87"/>
      <c r="Z87"/>
    </row>
    <row r="88" spans="2:26" ht="16" x14ac:dyDescent="0.2">
      <c r="B88" s="45"/>
      <c r="C88" s="80">
        <f t="shared" ca="1" si="3"/>
        <v>45959</v>
      </c>
      <c r="D88" s="81">
        <f ca="1">IF(Data!I88&lt;&gt;"",DATEDIF(Data!I88,C88,"m"),0)</f>
        <v>63</v>
      </c>
      <c r="E88" s="82">
        <f t="shared" ca="1" si="4"/>
        <v>5.25</v>
      </c>
      <c r="I88" s="81" t="str">
        <f>CONCATENATE(Data!M88,"-",Data!L88)</f>
        <v>CD-VA</v>
      </c>
      <c r="N88" s="81">
        <f>IF(Data!P88,DATEDIF(Data!O88,Data!P88,"d"),0)</f>
        <v>0</v>
      </c>
      <c r="O88" s="81">
        <f>IF(Data!M88="CD",1,0)</f>
        <v>1</v>
      </c>
      <c r="P88" s="81">
        <f>IF(Data!M88="CD",0,1)</f>
        <v>0</v>
      </c>
      <c r="Q88" s="81">
        <f>IF(Data!Q88&gt;Data!P88,DATEDIF(Data!P88,Data!Q88,"d"),0)</f>
        <v>0</v>
      </c>
      <c r="R88" s="81">
        <f>IF(Data!R88&gt;Data!Q88,DATEDIF(Data!Q88,Data!R88,"d"),0)</f>
        <v>0</v>
      </c>
      <c r="X88"/>
      <c r="Y88"/>
      <c r="Z88"/>
    </row>
    <row r="89" spans="2:26" ht="16" x14ac:dyDescent="0.2">
      <c r="B89" s="45"/>
      <c r="C89" s="80">
        <f t="shared" ca="1" si="3"/>
        <v>45959</v>
      </c>
      <c r="D89" s="81">
        <f ca="1">IF(Data!I89&lt;&gt;"",DATEDIF(Data!I89,C89,"m"),0)</f>
        <v>71</v>
      </c>
      <c r="E89" s="82">
        <f t="shared" ca="1" si="4"/>
        <v>5.916666666666667</v>
      </c>
      <c r="I89" s="81" t="str">
        <f>CONCATENATE(Data!M89,"-",Data!L89)</f>
        <v>CD-CH</v>
      </c>
      <c r="N89" s="81">
        <f>IF(Data!P89,DATEDIF(Data!O89,Data!P89,"d"),0)</f>
        <v>23</v>
      </c>
      <c r="O89" s="81">
        <f>IF(Data!M89="CD",1,0)</f>
        <v>1</v>
      </c>
      <c r="P89" s="81">
        <f>IF(Data!M89="CD",0,1)</f>
        <v>0</v>
      </c>
      <c r="Q89" s="81">
        <f>IF(Data!Q89&gt;Data!P89,DATEDIF(Data!P89,Data!Q89,"d"),0)</f>
        <v>5</v>
      </c>
      <c r="R89" s="81">
        <f>IF(Data!R89&gt;Data!Q89,DATEDIF(Data!Q89,Data!R89,"d"),0)</f>
        <v>8</v>
      </c>
      <c r="X89"/>
      <c r="Y89"/>
      <c r="Z89"/>
    </row>
    <row r="90" spans="2:26" ht="16" x14ac:dyDescent="0.2">
      <c r="B90" s="45"/>
      <c r="C90" s="80">
        <f t="shared" ca="1" si="3"/>
        <v>45959</v>
      </c>
      <c r="D90" s="81">
        <f ca="1">IF(Data!I90&lt;&gt;"",DATEDIF(Data!I90,C90,"m"),0)</f>
        <v>2</v>
      </c>
      <c r="E90" s="82">
        <f t="shared" ca="1" si="4"/>
        <v>0.16666666666666666</v>
      </c>
      <c r="I90" s="81" t="str">
        <f>CONCATENATE(Data!M90,"-",Data!L90)</f>
        <v>ML-GE</v>
      </c>
      <c r="N90" s="81">
        <f>IF(Data!P90,DATEDIF(Data!O90,Data!P90,"d"),0)</f>
        <v>54</v>
      </c>
      <c r="O90" s="81">
        <f>IF(Data!M90="CD",1,0)</f>
        <v>0</v>
      </c>
      <c r="P90" s="81">
        <f>IF(Data!M90="CD",0,1)</f>
        <v>1</v>
      </c>
      <c r="Q90" s="81">
        <f>IF(Data!Q90&gt;Data!P90,DATEDIF(Data!P90,Data!Q90,"d"),0)</f>
        <v>6</v>
      </c>
      <c r="R90" s="81">
        <f>IF(Data!R90&gt;Data!Q90,DATEDIF(Data!Q90,Data!R90,"d"),0)</f>
        <v>0</v>
      </c>
      <c r="X90"/>
      <c r="Y90"/>
      <c r="Z90"/>
    </row>
    <row r="91" spans="2:26" ht="16" x14ac:dyDescent="0.2">
      <c r="B91" s="45"/>
      <c r="C91" s="80">
        <f t="shared" ca="1" si="3"/>
        <v>45959</v>
      </c>
      <c r="D91" s="81">
        <f ca="1">IF(Data!I91&lt;&gt;"",DATEDIF(Data!I91,C91,"m"),0)</f>
        <v>12</v>
      </c>
      <c r="E91" s="82">
        <f t="shared" ca="1" si="4"/>
        <v>1</v>
      </c>
      <c r="I91" s="81" t="str">
        <f>CONCATENATE(Data!M91,"-",Data!L91)</f>
        <v>CD-BA</v>
      </c>
      <c r="N91" s="81">
        <f>IF(Data!P91,DATEDIF(Data!O91,Data!P91,"d"),0)</f>
        <v>5</v>
      </c>
      <c r="O91" s="81">
        <f>IF(Data!M91="CD",1,0)</f>
        <v>1</v>
      </c>
      <c r="P91" s="81">
        <f>IF(Data!M91="CD",0,1)</f>
        <v>0</v>
      </c>
      <c r="Q91" s="81">
        <f>IF(Data!Q91&gt;Data!P91,DATEDIF(Data!P91,Data!Q91,"d"),0)</f>
        <v>5</v>
      </c>
      <c r="R91" s="81">
        <f>IF(Data!R91&gt;Data!Q91,DATEDIF(Data!Q91,Data!R91,"d"),0)</f>
        <v>10</v>
      </c>
      <c r="X91"/>
      <c r="Y91"/>
      <c r="Z91"/>
    </row>
    <row r="92" spans="2:26" ht="16" x14ac:dyDescent="0.2">
      <c r="B92" s="45"/>
      <c r="C92" s="80">
        <f t="shared" ca="1" si="3"/>
        <v>45959</v>
      </c>
      <c r="D92" s="81">
        <f ca="1">IF(Data!I92&lt;&gt;"",DATEDIF(Data!I92,C92,"m"),0)</f>
        <v>11</v>
      </c>
      <c r="E92" s="82">
        <f t="shared" ca="1" si="4"/>
        <v>0.91666666666666663</v>
      </c>
      <c r="I92" s="81" t="str">
        <f>CONCATENATE(Data!M92,"-",Data!L92)</f>
        <v>AI-GE</v>
      </c>
      <c r="N92" s="81">
        <f>IF(Data!P92,DATEDIF(Data!O92,Data!P92,"d"),0)</f>
        <v>29</v>
      </c>
      <c r="O92" s="81">
        <f>IF(Data!M92="CD",1,0)</f>
        <v>0</v>
      </c>
      <c r="P92" s="81">
        <f>IF(Data!M92="CD",0,1)</f>
        <v>1</v>
      </c>
      <c r="Q92" s="81">
        <f>IF(Data!Q92&gt;Data!P92,DATEDIF(Data!P92,Data!Q92,"d"),0)</f>
        <v>3</v>
      </c>
      <c r="R92" s="81">
        <f>IF(Data!R92&gt;Data!Q92,DATEDIF(Data!Q92,Data!R92,"d"),0)</f>
        <v>9</v>
      </c>
      <c r="X92"/>
      <c r="Y92"/>
      <c r="Z92"/>
    </row>
    <row r="93" spans="2:26" ht="16" x14ac:dyDescent="0.2">
      <c r="B93" s="45"/>
      <c r="C93" s="80">
        <f t="shared" ca="1" si="3"/>
        <v>45959</v>
      </c>
      <c r="D93" s="81">
        <f ca="1">IF(Data!I93&lt;&gt;"",DATEDIF(Data!I93,C93,"m"),0)</f>
        <v>196</v>
      </c>
      <c r="E93" s="82">
        <f t="shared" ca="1" si="4"/>
        <v>16.333333333333332</v>
      </c>
      <c r="I93" s="81" t="str">
        <f>CONCATENATE(Data!M93,"-",Data!L93)</f>
        <v>CD-CH</v>
      </c>
      <c r="N93" s="81">
        <f>IF(Data!P93,DATEDIF(Data!O93,Data!P93,"d"),0)</f>
        <v>0</v>
      </c>
      <c r="O93" s="81">
        <f>IF(Data!M93="CD",1,0)</f>
        <v>1</v>
      </c>
      <c r="P93" s="81">
        <f>IF(Data!M93="CD",0,1)</f>
        <v>0</v>
      </c>
      <c r="Q93" s="81">
        <f>IF(Data!Q93&gt;Data!P93,DATEDIF(Data!P93,Data!Q93,"d"),0)</f>
        <v>14</v>
      </c>
      <c r="R93" s="81">
        <f>IF(Data!R93&gt;Data!Q93,DATEDIF(Data!Q93,Data!R93,"d"),0)</f>
        <v>6</v>
      </c>
      <c r="X93"/>
      <c r="Y93"/>
      <c r="Z93"/>
    </row>
    <row r="94" spans="2:26" ht="16" x14ac:dyDescent="0.2">
      <c r="B94" s="45"/>
      <c r="C94" s="80">
        <f t="shared" ca="1" si="3"/>
        <v>45959</v>
      </c>
      <c r="D94" s="81">
        <f ca="1">IF(Data!I94&lt;&gt;"",DATEDIF(Data!I94,C94,"m"),0)</f>
        <v>10</v>
      </c>
      <c r="E94" s="82">
        <f t="shared" ca="1" si="4"/>
        <v>0.83333333333333337</v>
      </c>
      <c r="I94" s="81" t="str">
        <f>CONCATENATE(Data!M94,"-",Data!L94)</f>
        <v>CD-BA</v>
      </c>
      <c r="N94" s="81">
        <f>IF(Data!P94,DATEDIF(Data!O94,Data!P94,"d"),0)</f>
        <v>0</v>
      </c>
      <c r="O94" s="81">
        <f>IF(Data!M94="CD",1,0)</f>
        <v>1</v>
      </c>
      <c r="P94" s="81">
        <f>IF(Data!M94="CD",0,1)</f>
        <v>0</v>
      </c>
      <c r="Q94" s="81">
        <f>IF(Data!Q94&gt;Data!P94,DATEDIF(Data!P94,Data!Q94,"d"),0)</f>
        <v>0</v>
      </c>
      <c r="R94" s="81">
        <f>IF(Data!R94&gt;Data!Q94,DATEDIF(Data!Q94,Data!R94,"d"),0)</f>
        <v>0</v>
      </c>
      <c r="X94"/>
      <c r="Y94"/>
      <c r="Z94"/>
    </row>
    <row r="95" spans="2:26" ht="16" x14ac:dyDescent="0.2">
      <c r="B95" s="45"/>
      <c r="C95" s="80">
        <f t="shared" ca="1" si="3"/>
        <v>45959</v>
      </c>
      <c r="D95" s="81">
        <f ca="1">IF(Data!I95&lt;&gt;"",DATEDIF(Data!I95,C95,"m"),0)</f>
        <v>62</v>
      </c>
      <c r="E95" s="82">
        <f t="shared" ca="1" si="4"/>
        <v>5.166666666666667</v>
      </c>
      <c r="I95" s="81" t="str">
        <f>CONCATENATE(Data!M95,"-",Data!L95)</f>
        <v>CD-CH</v>
      </c>
      <c r="N95" s="81">
        <f>IF(Data!P95,DATEDIF(Data!O95,Data!P95,"d"),0)</f>
        <v>1</v>
      </c>
      <c r="O95" s="81">
        <f>IF(Data!M95="CD",1,0)</f>
        <v>1</v>
      </c>
      <c r="P95" s="81">
        <f>IF(Data!M95="CD",0,1)</f>
        <v>0</v>
      </c>
      <c r="Q95" s="81">
        <f>IF(Data!Q95&gt;Data!P95,DATEDIF(Data!P95,Data!Q95,"d"),0)</f>
        <v>35</v>
      </c>
      <c r="R95" s="81">
        <f>IF(Data!R95&gt;Data!Q95,DATEDIF(Data!Q95,Data!R95,"d"),0)</f>
        <v>28</v>
      </c>
      <c r="X95"/>
      <c r="Y95"/>
      <c r="Z95"/>
    </row>
    <row r="96" spans="2:26" ht="16" x14ac:dyDescent="0.2">
      <c r="B96" s="45"/>
      <c r="C96" s="80">
        <f t="shared" ca="1" si="3"/>
        <v>45959</v>
      </c>
      <c r="D96" s="81">
        <f ca="1">IF(Data!I96&lt;&gt;"",DATEDIF(Data!I96,C96,"m"),0)</f>
        <v>31</v>
      </c>
      <c r="E96" s="82">
        <f t="shared" ca="1" si="4"/>
        <v>2.5833333333333335</v>
      </c>
      <c r="I96" s="81" t="str">
        <f>CONCATENATE(Data!M96,"-",Data!L96)</f>
        <v>CI-BA</v>
      </c>
      <c r="N96" s="81">
        <f>IF(Data!P96,DATEDIF(Data!O96,Data!P96,"d"),0)</f>
        <v>8</v>
      </c>
      <c r="O96" s="81">
        <f>IF(Data!M96="CD",1,0)</f>
        <v>0</v>
      </c>
      <c r="P96" s="81">
        <f>IF(Data!M96="CD",0,1)</f>
        <v>1</v>
      </c>
      <c r="Q96" s="81">
        <f>IF(Data!Q96&gt;Data!P96,DATEDIF(Data!P96,Data!Q96,"d"),0)</f>
        <v>19</v>
      </c>
      <c r="R96" s="81">
        <f>IF(Data!R96&gt;Data!Q96,DATEDIF(Data!Q96,Data!R96,"d"),0)</f>
        <v>1</v>
      </c>
      <c r="X96"/>
      <c r="Y96"/>
      <c r="Z96"/>
    </row>
    <row r="97" spans="2:26" ht="16" x14ac:dyDescent="0.2">
      <c r="B97" s="45"/>
      <c r="C97" s="80">
        <f t="shared" ca="1" si="3"/>
        <v>45959</v>
      </c>
      <c r="D97" s="81">
        <f ca="1">IF(Data!I97&lt;&gt;"",DATEDIF(Data!I97,C97,"m"),0)</f>
        <v>12</v>
      </c>
      <c r="E97" s="82">
        <f t="shared" ca="1" si="4"/>
        <v>1</v>
      </c>
      <c r="I97" s="81" t="str">
        <f>CONCATENATE(Data!M97,"-",Data!L97)</f>
        <v>CD-BA</v>
      </c>
      <c r="N97" s="81">
        <f>IF(Data!P97,DATEDIF(Data!O97,Data!P97,"d"),0)</f>
        <v>8</v>
      </c>
      <c r="O97" s="81">
        <f>IF(Data!M97="CD",1,0)</f>
        <v>1</v>
      </c>
      <c r="P97" s="81">
        <f>IF(Data!M97="CD",0,1)</f>
        <v>0</v>
      </c>
      <c r="Q97" s="81">
        <f>IF(Data!Q97&gt;Data!P97,DATEDIF(Data!P97,Data!Q97,"d"),0)</f>
        <v>5</v>
      </c>
      <c r="R97" s="81">
        <f>IF(Data!R97&gt;Data!Q97,DATEDIF(Data!Q97,Data!R97,"d"),0)</f>
        <v>8</v>
      </c>
      <c r="X97"/>
      <c r="Y97"/>
      <c r="Z97"/>
    </row>
    <row r="98" spans="2:26" ht="16" x14ac:dyDescent="0.2">
      <c r="B98" s="45"/>
      <c r="C98" s="80">
        <f t="shared" ca="1" si="3"/>
        <v>45959</v>
      </c>
      <c r="D98" s="81">
        <f ca="1">IF(Data!I98&lt;&gt;"",DATEDIF(Data!I98,C98,"m"),0)</f>
        <v>21</v>
      </c>
      <c r="E98" s="82">
        <f t="shared" ca="1" si="4"/>
        <v>1.75</v>
      </c>
      <c r="I98" s="81" t="str">
        <f>CONCATENATE(Data!M98,"-",Data!L98)</f>
        <v>CI-VA</v>
      </c>
      <c r="N98" s="81">
        <f>IF(Data!P98,DATEDIF(Data!O98,Data!P98,"d"),0)</f>
        <v>8</v>
      </c>
      <c r="O98" s="81">
        <f>IF(Data!M98="CD",1,0)</f>
        <v>0</v>
      </c>
      <c r="P98" s="81">
        <f>IF(Data!M98="CD",0,1)</f>
        <v>1</v>
      </c>
      <c r="Q98" s="81">
        <f>IF(Data!Q98&gt;Data!P98,DATEDIF(Data!P98,Data!Q98,"d"),0)</f>
        <v>9</v>
      </c>
      <c r="R98" s="81">
        <f>IF(Data!R98&gt;Data!Q98,DATEDIF(Data!Q98,Data!R98,"d"),0)</f>
        <v>1</v>
      </c>
      <c r="X98"/>
      <c r="Y98"/>
      <c r="Z98"/>
    </row>
    <row r="99" spans="2:26" ht="16" x14ac:dyDescent="0.2">
      <c r="B99" s="45"/>
      <c r="C99" s="80">
        <f t="shared" ca="1" si="3"/>
        <v>45959</v>
      </c>
      <c r="D99" s="81">
        <f>IF(Data!I99&lt;&gt;"",DATEDIF(Data!I99,C99,"m"),0)</f>
        <v>0</v>
      </c>
      <c r="E99" s="82">
        <f t="shared" si="4"/>
        <v>0</v>
      </c>
      <c r="I99" s="81" t="str">
        <f>CONCATENATE(Data!M99,"-",Data!L99)</f>
        <v>ML-GE</v>
      </c>
      <c r="N99" s="81">
        <f>IF(Data!P99,DATEDIF(Data!O99,Data!P99,"d"),0)</f>
        <v>36</v>
      </c>
      <c r="O99" s="81">
        <f>IF(Data!M99="CD",1,0)</f>
        <v>0</v>
      </c>
      <c r="P99" s="81">
        <f>IF(Data!M99="CD",0,1)</f>
        <v>1</v>
      </c>
      <c r="Q99" s="81">
        <f>IF(Data!Q99&gt;Data!P99,DATEDIF(Data!P99,Data!Q99,"d"),0)</f>
        <v>3</v>
      </c>
      <c r="R99" s="81">
        <f>IF(Data!R99&gt;Data!Q99,DATEDIF(Data!Q99,Data!R99,"d"),0)</f>
        <v>1</v>
      </c>
      <c r="X99"/>
      <c r="Y99"/>
      <c r="Z99"/>
    </row>
    <row r="100" spans="2:26" ht="16" x14ac:dyDescent="0.2">
      <c r="B100" s="45"/>
      <c r="C100" s="80">
        <f t="shared" ca="1" si="3"/>
        <v>45959</v>
      </c>
      <c r="D100" s="81">
        <f ca="1">IF(Data!I100&lt;&gt;"",DATEDIF(Data!I100,C100,"m"),0)</f>
        <v>31</v>
      </c>
      <c r="E100" s="82">
        <f t="shared" ca="1" si="4"/>
        <v>2.5833333333333335</v>
      </c>
      <c r="I100" s="81" t="str">
        <f>CONCATENATE(Data!M100,"-",Data!L100)</f>
        <v>CD-VA</v>
      </c>
      <c r="N100" s="81">
        <f>IF(Data!P100,DATEDIF(Data!O100,Data!P100,"d"),0)</f>
        <v>5</v>
      </c>
      <c r="O100" s="81">
        <f>IF(Data!M100="CD",1,0)</f>
        <v>1</v>
      </c>
      <c r="P100" s="81">
        <f>IF(Data!M100="CD",0,1)</f>
        <v>0</v>
      </c>
      <c r="Q100" s="81">
        <f>IF(Data!Q100&gt;Data!P100,DATEDIF(Data!P100,Data!Q100,"d"),0)</f>
        <v>36</v>
      </c>
      <c r="R100" s="81">
        <f>IF(Data!R100&gt;Data!Q100,DATEDIF(Data!Q100,Data!R100,"d"),0)</f>
        <v>11</v>
      </c>
      <c r="X100"/>
      <c r="Y100"/>
      <c r="Z100"/>
    </row>
    <row r="101" spans="2:26" ht="16" x14ac:dyDescent="0.2">
      <c r="B101" s="45"/>
      <c r="C101" s="80">
        <f t="shared" ca="1" si="3"/>
        <v>45959</v>
      </c>
      <c r="D101" s="81">
        <f ca="1">IF(Data!I101&lt;&gt;"",DATEDIF(Data!I101,C101,"m"),0)</f>
        <v>138</v>
      </c>
      <c r="E101" s="82">
        <f t="shared" ca="1" si="4"/>
        <v>11.5</v>
      </c>
      <c r="I101" s="81" t="str">
        <f>CONCATENATE(Data!M101,"-",Data!L101)</f>
        <v>CD-CH</v>
      </c>
      <c r="N101" s="81">
        <f>IF(Data!P101,DATEDIF(Data!O101,Data!P101,"d"),0)</f>
        <v>2</v>
      </c>
      <c r="O101" s="81">
        <f>IF(Data!M101="CD",1,0)</f>
        <v>1</v>
      </c>
      <c r="P101" s="81">
        <f>IF(Data!M101="CD",0,1)</f>
        <v>0</v>
      </c>
      <c r="Q101" s="81">
        <f>IF(Data!Q101&gt;Data!P101,DATEDIF(Data!P101,Data!Q101,"d"),0)</f>
        <v>6</v>
      </c>
      <c r="R101" s="81">
        <f>IF(Data!R101&gt;Data!Q101,DATEDIF(Data!Q101,Data!R101,"d"),0)</f>
        <v>40</v>
      </c>
      <c r="X101"/>
      <c r="Y101"/>
      <c r="Z101"/>
    </row>
    <row r="102" spans="2:26" ht="16" x14ac:dyDescent="0.2">
      <c r="B102" s="45"/>
      <c r="C102" s="80">
        <f t="shared" ca="1" si="3"/>
        <v>45959</v>
      </c>
      <c r="D102" s="81">
        <f ca="1">IF(Data!I102&lt;&gt;"",DATEDIF(Data!I102,C102,"m"),0)</f>
        <v>279</v>
      </c>
      <c r="E102" s="82">
        <f t="shared" ca="1" si="4"/>
        <v>23.25</v>
      </c>
      <c r="I102" s="81" t="str">
        <f>CONCATENATE(Data!M102,"-",Data!L102)</f>
        <v>CD-BA</v>
      </c>
      <c r="N102" s="81">
        <f>IF(Data!P102,DATEDIF(Data!O102,Data!P102,"d"),0)</f>
        <v>0</v>
      </c>
      <c r="O102" s="81">
        <f>IF(Data!M102="CD",1,0)</f>
        <v>1</v>
      </c>
      <c r="P102" s="81">
        <f>IF(Data!M102="CD",0,1)</f>
        <v>0</v>
      </c>
      <c r="Q102" s="81">
        <f>IF(Data!Q102&gt;Data!P102,DATEDIF(Data!P102,Data!Q102,"d"),0)</f>
        <v>4</v>
      </c>
      <c r="R102" s="81">
        <f>IF(Data!R102&gt;Data!Q102,DATEDIF(Data!Q102,Data!R102,"d"),0)</f>
        <v>43</v>
      </c>
      <c r="X102"/>
      <c r="Y102"/>
      <c r="Z102"/>
    </row>
    <row r="103" spans="2:26" ht="16" x14ac:dyDescent="0.2">
      <c r="B103" s="45"/>
      <c r="C103" s="80">
        <f t="shared" ca="1" si="3"/>
        <v>45959</v>
      </c>
      <c r="D103" s="81">
        <f ca="1">IF(Data!I103&lt;&gt;"",DATEDIF(Data!I103,C103,"m"),0)</f>
        <v>69</v>
      </c>
      <c r="E103" s="82">
        <f t="shared" ca="1" si="4"/>
        <v>5.75</v>
      </c>
      <c r="I103" s="81" t="str">
        <f>CONCATENATE(Data!M103,"-",Data!L103)</f>
        <v>CI-GE</v>
      </c>
      <c r="N103" s="81">
        <f>IF(Data!P103,DATEDIF(Data!O103,Data!P103,"d"),0)</f>
        <v>38</v>
      </c>
      <c r="O103" s="81">
        <f>IF(Data!M103="CD",1,0)</f>
        <v>0</v>
      </c>
      <c r="P103" s="81">
        <f>IF(Data!M103="CD",0,1)</f>
        <v>1</v>
      </c>
      <c r="Q103" s="81">
        <f>IF(Data!Q103&gt;Data!P103,DATEDIF(Data!P103,Data!Q103,"d"),0)</f>
        <v>3</v>
      </c>
      <c r="R103" s="81">
        <f>IF(Data!R103&gt;Data!Q103,DATEDIF(Data!Q103,Data!R103,"d"),0)</f>
        <v>1</v>
      </c>
      <c r="X103"/>
      <c r="Y103"/>
      <c r="Z103"/>
    </row>
    <row r="104" spans="2:26" ht="16" x14ac:dyDescent="0.2">
      <c r="B104" s="45"/>
      <c r="C104" s="80">
        <f t="shared" ca="1" si="3"/>
        <v>45959</v>
      </c>
      <c r="D104" s="81">
        <f ca="1">IF(Data!I104&lt;&gt;"",DATEDIF(Data!I104,C104,"m"),0)</f>
        <v>45</v>
      </c>
      <c r="E104" s="82">
        <f t="shared" ca="1" si="4"/>
        <v>3.75</v>
      </c>
      <c r="I104" s="81" t="str">
        <f>CONCATENATE(Data!M104,"-",Data!L104)</f>
        <v>CD-GE</v>
      </c>
      <c r="N104" s="81">
        <f>IF(Data!P104,DATEDIF(Data!O104,Data!P104,"d"),0)</f>
        <v>38</v>
      </c>
      <c r="O104" s="81">
        <f>IF(Data!M104="CD",1,0)</f>
        <v>1</v>
      </c>
      <c r="P104" s="81">
        <f>IF(Data!M104="CD",0,1)</f>
        <v>0</v>
      </c>
      <c r="Q104" s="81">
        <f>IF(Data!Q104&gt;Data!P104,DATEDIF(Data!P104,Data!Q104,"d"),0)</f>
        <v>31</v>
      </c>
      <c r="R104" s="81">
        <f>IF(Data!R104&gt;Data!Q104,DATEDIF(Data!Q104,Data!R104,"d"),0)</f>
        <v>9</v>
      </c>
      <c r="X104"/>
      <c r="Y104"/>
      <c r="Z104"/>
    </row>
    <row r="105" spans="2:26" ht="16" x14ac:dyDescent="0.2">
      <c r="B105" s="45"/>
      <c r="C105" s="80">
        <f t="shared" ca="1" si="3"/>
        <v>45959</v>
      </c>
      <c r="D105" s="81">
        <f ca="1">IF(Data!I105&lt;&gt;"",DATEDIF(Data!I105,C105,"m"),0)</f>
        <v>189</v>
      </c>
      <c r="E105" s="82">
        <f t="shared" ca="1" si="4"/>
        <v>15.75</v>
      </c>
      <c r="I105" s="81" t="str">
        <f>CONCATENATE(Data!M105,"-",Data!L105)</f>
        <v>CD-BA</v>
      </c>
      <c r="N105" s="81">
        <f>IF(Data!P105,DATEDIF(Data!O105,Data!P105,"d"),0)</f>
        <v>1</v>
      </c>
      <c r="O105" s="81">
        <f>IF(Data!M105="CD",1,0)</f>
        <v>1</v>
      </c>
      <c r="P105" s="81">
        <f>IF(Data!M105="CD",0,1)</f>
        <v>0</v>
      </c>
      <c r="Q105" s="81">
        <f>IF(Data!Q105&gt;Data!P105,DATEDIF(Data!P105,Data!Q105,"d"),0)</f>
        <v>1</v>
      </c>
      <c r="R105" s="81">
        <f>IF(Data!R105&gt;Data!Q105,DATEDIF(Data!Q105,Data!R105,"d"),0)</f>
        <v>19</v>
      </c>
      <c r="X105"/>
      <c r="Y105"/>
      <c r="Z105"/>
    </row>
    <row r="106" spans="2:26" ht="16" x14ac:dyDescent="0.2">
      <c r="B106" s="45"/>
      <c r="C106" s="80">
        <f t="shared" ca="1" si="3"/>
        <v>45959</v>
      </c>
      <c r="D106" s="81">
        <f ca="1">IF(Data!I106&lt;&gt;"",DATEDIF(Data!I106,C106,"m"),0)</f>
        <v>7</v>
      </c>
      <c r="E106" s="82">
        <f t="shared" ca="1" si="4"/>
        <v>0.58333333333333337</v>
      </c>
      <c r="I106" s="81" t="str">
        <f>CONCATENATE(Data!M106,"-",Data!L106)</f>
        <v>CI-VA</v>
      </c>
      <c r="N106" s="81">
        <f>IF(Data!P106,DATEDIF(Data!O106,Data!P106,"d"),0)</f>
        <v>0</v>
      </c>
      <c r="O106" s="81">
        <f>IF(Data!M106="CD",1,0)</f>
        <v>0</v>
      </c>
      <c r="P106" s="81">
        <f>IF(Data!M106="CD",0,1)</f>
        <v>1</v>
      </c>
      <c r="Q106" s="81">
        <f>IF(Data!Q106&gt;Data!P106,DATEDIF(Data!P106,Data!Q106,"d"),0)</f>
        <v>45</v>
      </c>
      <c r="R106" s="81">
        <f>IF(Data!R106&gt;Data!Q106,DATEDIF(Data!Q106,Data!R106,"d"),0)</f>
        <v>9</v>
      </c>
      <c r="X106"/>
      <c r="Y106"/>
      <c r="Z106"/>
    </row>
    <row r="107" spans="2:26" ht="16" x14ac:dyDescent="0.2">
      <c r="B107" s="45"/>
      <c r="C107" s="80">
        <f t="shared" ca="1" si="3"/>
        <v>45959</v>
      </c>
      <c r="D107" s="81">
        <f ca="1">IF(Data!I107&lt;&gt;"",DATEDIF(Data!I107,C107,"m"),0)</f>
        <v>33</v>
      </c>
      <c r="E107" s="82">
        <f t="shared" ca="1" si="4"/>
        <v>2.75</v>
      </c>
      <c r="I107" s="81" t="str">
        <f>CONCATENATE(Data!M107,"-",Data!L107)</f>
        <v>CI-VA</v>
      </c>
      <c r="N107" s="81">
        <f>IF(Data!P107,DATEDIF(Data!O107,Data!P107,"d"),0)</f>
        <v>5</v>
      </c>
      <c r="O107" s="81">
        <f>IF(Data!M107="CD",1,0)</f>
        <v>0</v>
      </c>
      <c r="P107" s="81">
        <f>IF(Data!M107="CD",0,1)</f>
        <v>1</v>
      </c>
      <c r="Q107" s="81">
        <f>IF(Data!Q107&gt;Data!P107,DATEDIF(Data!P107,Data!Q107,"d"),0)</f>
        <v>1</v>
      </c>
      <c r="R107" s="81">
        <f>IF(Data!R107&gt;Data!Q107,DATEDIF(Data!Q107,Data!R107,"d"),0)</f>
        <v>21</v>
      </c>
      <c r="X107"/>
      <c r="Y107"/>
      <c r="Z107"/>
    </row>
    <row r="108" spans="2:26" ht="16" x14ac:dyDescent="0.2">
      <c r="B108" s="45"/>
      <c r="C108" s="80">
        <f t="shared" ca="1" si="3"/>
        <v>45959</v>
      </c>
      <c r="D108" s="81">
        <f ca="1">IF(Data!I108&lt;&gt;"",DATEDIF(Data!I108,C108,"m"),0)</f>
        <v>69</v>
      </c>
      <c r="E108" s="82">
        <f t="shared" ca="1" si="4"/>
        <v>5.75</v>
      </c>
      <c r="I108" s="81" t="str">
        <f>CONCATENATE(Data!M108,"-",Data!L108)</f>
        <v>CD-CH</v>
      </c>
      <c r="N108" s="81">
        <f>IF(Data!P108,DATEDIF(Data!O108,Data!P108,"d"),0)</f>
        <v>0</v>
      </c>
      <c r="O108" s="81">
        <f>IF(Data!M108="CD",1,0)</f>
        <v>1</v>
      </c>
      <c r="P108" s="81">
        <f>IF(Data!M108="CD",0,1)</f>
        <v>0</v>
      </c>
      <c r="Q108" s="81">
        <f>IF(Data!Q108&gt;Data!P108,DATEDIF(Data!P108,Data!Q108,"d"),0)</f>
        <v>4</v>
      </c>
      <c r="R108" s="81">
        <f>IF(Data!R108&gt;Data!Q108,DATEDIF(Data!Q108,Data!R108,"d"),0)</f>
        <v>2</v>
      </c>
      <c r="X108"/>
      <c r="Y108"/>
      <c r="Z108"/>
    </row>
    <row r="109" spans="2:26" ht="16" x14ac:dyDescent="0.2">
      <c r="B109" s="45"/>
      <c r="C109" s="80">
        <f t="shared" ca="1" si="3"/>
        <v>45959</v>
      </c>
      <c r="D109" s="81">
        <f ca="1">IF(Data!I109&lt;&gt;"",DATEDIF(Data!I109,C109,"m"),0)</f>
        <v>189</v>
      </c>
      <c r="E109" s="82">
        <f t="shared" ca="1" si="4"/>
        <v>15.75</v>
      </c>
      <c r="I109" s="81" t="str">
        <f>CONCATENATE(Data!M109,"-",Data!L109)</f>
        <v>CI-GE</v>
      </c>
      <c r="N109" s="81">
        <f>IF(Data!P109,DATEDIF(Data!O109,Data!P109,"d"),0)</f>
        <v>1</v>
      </c>
      <c r="O109" s="81">
        <f>IF(Data!M109="CD",1,0)</f>
        <v>0</v>
      </c>
      <c r="P109" s="81">
        <f>IF(Data!M109="CD",0,1)</f>
        <v>1</v>
      </c>
      <c r="Q109" s="81">
        <f>IF(Data!Q109&gt;Data!P109,DATEDIF(Data!P109,Data!Q109,"d"),0)</f>
        <v>3</v>
      </c>
      <c r="R109" s="81">
        <f>IF(Data!R109&gt;Data!Q109,DATEDIF(Data!Q109,Data!R109,"d"),0)</f>
        <v>2</v>
      </c>
      <c r="X109"/>
      <c r="Y109"/>
      <c r="Z109"/>
    </row>
    <row r="110" spans="2:26" ht="16" x14ac:dyDescent="0.2">
      <c r="B110" s="45"/>
      <c r="C110" s="80">
        <f t="shared" ca="1" si="3"/>
        <v>45959</v>
      </c>
      <c r="D110" s="81">
        <f ca="1">IF(Data!I110&lt;&gt;"",DATEDIF(Data!I110,C110,"m"),0)</f>
        <v>165</v>
      </c>
      <c r="E110" s="82">
        <f t="shared" ca="1" si="4"/>
        <v>13.75</v>
      </c>
      <c r="I110" s="81" t="str">
        <f>CONCATENATE(Data!M110,"-",Data!L110)</f>
        <v>CD-VA</v>
      </c>
      <c r="N110" s="81">
        <f>IF(Data!P110,DATEDIF(Data!O110,Data!P110,"d"),0)</f>
        <v>0</v>
      </c>
      <c r="O110" s="81">
        <f>IF(Data!M110="CD",1,0)</f>
        <v>1</v>
      </c>
      <c r="P110" s="81">
        <f>IF(Data!M110="CD",0,1)</f>
        <v>0</v>
      </c>
      <c r="Q110" s="81">
        <f>IF(Data!Q110&gt;Data!P110,DATEDIF(Data!P110,Data!Q110,"d"),0)</f>
        <v>0</v>
      </c>
      <c r="R110" s="81">
        <f>IF(Data!R110&gt;Data!Q110,DATEDIF(Data!Q110,Data!R110,"d"),0)</f>
        <v>0</v>
      </c>
      <c r="X110"/>
      <c r="Y110"/>
      <c r="Z110"/>
    </row>
    <row r="111" spans="2:26" ht="16" x14ac:dyDescent="0.2">
      <c r="B111" s="45"/>
      <c r="C111" s="80">
        <f t="shared" ca="1" si="3"/>
        <v>45959</v>
      </c>
      <c r="D111" s="81">
        <f ca="1">IF(Data!I111&lt;&gt;"",DATEDIF(Data!I111,C111,"m"),0)</f>
        <v>82</v>
      </c>
      <c r="E111" s="82">
        <f t="shared" ca="1" si="4"/>
        <v>6.833333333333333</v>
      </c>
      <c r="I111" s="81" t="str">
        <f>CONCATENATE(Data!M111,"-",Data!L111)</f>
        <v>CD-GE</v>
      </c>
      <c r="N111" s="81">
        <f>IF(Data!P111,DATEDIF(Data!O111,Data!P111,"d"),0)</f>
        <v>1</v>
      </c>
      <c r="O111" s="81">
        <f>IF(Data!M111="CD",1,0)</f>
        <v>1</v>
      </c>
      <c r="P111" s="81">
        <f>IF(Data!M111="CD",0,1)</f>
        <v>0</v>
      </c>
      <c r="Q111" s="81">
        <f>IF(Data!Q111&gt;Data!P111,DATEDIF(Data!P111,Data!Q111,"d"),0)</f>
        <v>28</v>
      </c>
      <c r="R111" s="81">
        <f>IF(Data!R111&gt;Data!Q111,DATEDIF(Data!Q111,Data!R111,"d"),0)</f>
        <v>8</v>
      </c>
      <c r="X111"/>
      <c r="Y111"/>
      <c r="Z111"/>
    </row>
    <row r="112" spans="2:26" ht="16" x14ac:dyDescent="0.2">
      <c r="B112" s="45"/>
      <c r="C112" s="80">
        <f t="shared" ca="1" si="3"/>
        <v>45959</v>
      </c>
      <c r="D112" s="81">
        <f ca="1">IF(Data!I112&lt;&gt;"",DATEDIF(Data!I112,C112,"m"),0)</f>
        <v>158</v>
      </c>
      <c r="E112" s="82">
        <f t="shared" ca="1" si="4"/>
        <v>13.166666666666666</v>
      </c>
      <c r="I112" s="81" t="str">
        <f>CONCATENATE(Data!M112,"-",Data!L112)</f>
        <v>CD-GE</v>
      </c>
      <c r="N112" s="81">
        <f>IF(Data!P112,DATEDIF(Data!O112,Data!P112,"d"),0)</f>
        <v>44</v>
      </c>
      <c r="O112" s="81">
        <f>IF(Data!M112="CD",1,0)</f>
        <v>1</v>
      </c>
      <c r="P112" s="81">
        <f>IF(Data!M112="CD",0,1)</f>
        <v>0</v>
      </c>
      <c r="Q112" s="81">
        <f>IF(Data!Q112&gt;Data!P112,DATEDIF(Data!P112,Data!Q112,"d"),0)</f>
        <v>3</v>
      </c>
      <c r="R112" s="81">
        <f>IF(Data!R112&gt;Data!Q112,DATEDIF(Data!Q112,Data!R112,"d"),0)</f>
        <v>1</v>
      </c>
      <c r="X112"/>
      <c r="Y112"/>
      <c r="Z112"/>
    </row>
    <row r="113" spans="2:26" ht="16" x14ac:dyDescent="0.2">
      <c r="B113" s="45"/>
      <c r="C113" s="80">
        <f t="shared" ca="1" si="3"/>
        <v>45959</v>
      </c>
      <c r="D113" s="81">
        <f ca="1">IF(Data!I113&lt;&gt;"",DATEDIF(Data!I113,C113,"m"),0)</f>
        <v>41</v>
      </c>
      <c r="E113" s="82">
        <f t="shared" ca="1" si="4"/>
        <v>3.4166666666666665</v>
      </c>
      <c r="I113" s="81" t="str">
        <f>CONCATENATE(Data!M113,"-",Data!L113)</f>
        <v>CD-GE</v>
      </c>
      <c r="N113" s="81">
        <f>IF(Data!P113,DATEDIF(Data!O113,Data!P113,"d"),0)</f>
        <v>44</v>
      </c>
      <c r="O113" s="81">
        <f>IF(Data!M113="CD",1,0)</f>
        <v>1</v>
      </c>
      <c r="P113" s="81">
        <f>IF(Data!M113="CD",0,1)</f>
        <v>0</v>
      </c>
      <c r="Q113" s="81">
        <f>IF(Data!Q113&gt;Data!P113,DATEDIF(Data!P113,Data!Q113,"d"),0)</f>
        <v>3</v>
      </c>
      <c r="R113" s="81">
        <f>IF(Data!R113&gt;Data!Q113,DATEDIF(Data!Q113,Data!R113,"d"),0)</f>
        <v>1</v>
      </c>
      <c r="X113"/>
      <c r="Y113"/>
      <c r="Z113"/>
    </row>
    <row r="114" spans="2:26" ht="16" x14ac:dyDescent="0.2">
      <c r="B114" s="45"/>
      <c r="C114" s="80">
        <f t="shared" ca="1" si="3"/>
        <v>45959</v>
      </c>
      <c r="D114" s="81">
        <f ca="1">IF(Data!I114&lt;&gt;"",DATEDIF(Data!I114,C114,"m"),0)</f>
        <v>198</v>
      </c>
      <c r="E114" s="82">
        <f t="shared" ca="1" si="4"/>
        <v>16.5</v>
      </c>
      <c r="I114" s="81" t="str">
        <f>CONCATENATE(Data!M114,"-",Data!L114)</f>
        <v>CD-BA</v>
      </c>
      <c r="N114" s="81">
        <f>IF(Data!P114,DATEDIF(Data!O114,Data!P114,"d"),0)</f>
        <v>2</v>
      </c>
      <c r="O114" s="81">
        <f>IF(Data!M114="CD",1,0)</f>
        <v>1</v>
      </c>
      <c r="P114" s="81">
        <f>IF(Data!M114="CD",0,1)</f>
        <v>0</v>
      </c>
      <c r="Q114" s="81">
        <f>IF(Data!Q114&gt;Data!P114,DATEDIF(Data!P114,Data!Q114,"d"),0)</f>
        <v>0</v>
      </c>
      <c r="R114" s="81">
        <f>IF(Data!R114&gt;Data!Q114,DATEDIF(Data!Q114,Data!R114,"d"),0)</f>
        <v>25</v>
      </c>
      <c r="X114"/>
      <c r="Y114"/>
      <c r="Z114"/>
    </row>
    <row r="115" spans="2:26" ht="16" x14ac:dyDescent="0.2">
      <c r="B115" s="45"/>
      <c r="C115" s="80">
        <f t="shared" ca="1" si="3"/>
        <v>45959</v>
      </c>
      <c r="D115" s="81">
        <f ca="1">IF(Data!I115&lt;&gt;"",DATEDIF(Data!I115,C115,"m"),0)</f>
        <v>150</v>
      </c>
      <c r="E115" s="82">
        <f t="shared" ca="1" si="4"/>
        <v>12.5</v>
      </c>
      <c r="I115" s="81" t="str">
        <f>CONCATENATE(Data!M115,"-",Data!L115)</f>
        <v>CD-GE</v>
      </c>
      <c r="N115" s="81">
        <f>IF(Data!P115,DATEDIF(Data!O115,Data!P115,"d"),0)</f>
        <v>45</v>
      </c>
      <c r="O115" s="81">
        <f>IF(Data!M115="CD",1,0)</f>
        <v>1</v>
      </c>
      <c r="P115" s="81">
        <f>IF(Data!M115="CD",0,1)</f>
        <v>0</v>
      </c>
      <c r="Q115" s="81">
        <f>IF(Data!Q115&gt;Data!P115,DATEDIF(Data!P115,Data!Q115,"d"),0)</f>
        <v>3</v>
      </c>
      <c r="R115" s="81">
        <f>IF(Data!R115&gt;Data!Q115,DATEDIF(Data!Q115,Data!R115,"d"),0)</f>
        <v>11</v>
      </c>
      <c r="X115"/>
      <c r="Y115"/>
      <c r="Z115"/>
    </row>
    <row r="116" spans="2:26" ht="16" x14ac:dyDescent="0.2">
      <c r="B116" s="45"/>
      <c r="C116" s="80">
        <f t="shared" ca="1" si="3"/>
        <v>45959</v>
      </c>
      <c r="D116" s="81">
        <f ca="1">IF(Data!I116&lt;&gt;"",DATEDIF(Data!I116,C116,"m"),0)</f>
        <v>9</v>
      </c>
      <c r="E116" s="82">
        <f t="shared" ca="1" si="4"/>
        <v>0.75</v>
      </c>
      <c r="I116" s="81" t="str">
        <f>CONCATENATE(Data!M116,"-",Data!L116)</f>
        <v>CD-GE</v>
      </c>
      <c r="N116" s="81">
        <f>IF(Data!P116,DATEDIF(Data!O116,Data!P116,"d"),0)</f>
        <v>8</v>
      </c>
      <c r="O116" s="81">
        <f>IF(Data!M116="CD",1,0)</f>
        <v>1</v>
      </c>
      <c r="P116" s="81">
        <f>IF(Data!M116="CD",0,1)</f>
        <v>0</v>
      </c>
      <c r="Q116" s="81">
        <f>IF(Data!Q116&gt;Data!P116,DATEDIF(Data!P116,Data!Q116,"d"),0)</f>
        <v>2</v>
      </c>
      <c r="R116" s="81">
        <f>IF(Data!R116&gt;Data!Q116,DATEDIF(Data!Q116,Data!R116,"d"),0)</f>
        <v>0</v>
      </c>
      <c r="X116"/>
      <c r="Y116"/>
      <c r="Z116"/>
    </row>
    <row r="117" spans="2:26" ht="16" x14ac:dyDescent="0.2">
      <c r="B117" s="45"/>
      <c r="C117" s="80">
        <f t="shared" ca="1" si="3"/>
        <v>45959</v>
      </c>
      <c r="D117" s="81">
        <f ca="1">IF(Data!I117&lt;&gt;"",DATEDIF(Data!I117,C117,"m"),0)</f>
        <v>4</v>
      </c>
      <c r="E117" s="82">
        <f t="shared" ca="1" si="4"/>
        <v>0.33333333333333331</v>
      </c>
      <c r="I117" s="81" t="str">
        <f>CONCATENATE(Data!M117,"-",Data!L117)</f>
        <v>CD-VA</v>
      </c>
      <c r="N117" s="81">
        <f>IF(Data!P117,DATEDIF(Data!O117,Data!P117,"d"),0)</f>
        <v>7</v>
      </c>
      <c r="O117" s="81">
        <f>IF(Data!M117="CD",1,0)</f>
        <v>1</v>
      </c>
      <c r="P117" s="81">
        <f>IF(Data!M117="CD",0,1)</f>
        <v>0</v>
      </c>
      <c r="Q117" s="81">
        <f>IF(Data!Q117&gt;Data!P117,DATEDIF(Data!P117,Data!Q117,"d"),0)</f>
        <v>6</v>
      </c>
      <c r="R117" s="81">
        <f>IF(Data!R117&gt;Data!Q117,DATEDIF(Data!Q117,Data!R117,"d"),0)</f>
        <v>18</v>
      </c>
      <c r="X117"/>
      <c r="Y117"/>
      <c r="Z117"/>
    </row>
    <row r="118" spans="2:26" ht="16" x14ac:dyDescent="0.2">
      <c r="B118" s="45"/>
      <c r="C118" s="80">
        <f t="shared" ca="1" si="3"/>
        <v>45959</v>
      </c>
      <c r="D118" s="81">
        <f ca="1">IF(Data!I118&lt;&gt;"",DATEDIF(Data!I118,C118,"m"),0)</f>
        <v>7</v>
      </c>
      <c r="E118" s="82">
        <f t="shared" ca="1" si="4"/>
        <v>0.58333333333333337</v>
      </c>
      <c r="I118" s="81" t="str">
        <f>CONCATENATE(Data!M118,"-",Data!L118)</f>
        <v>CD-CH</v>
      </c>
      <c r="N118" s="81">
        <f>IF(Data!P118,DATEDIF(Data!O118,Data!P118,"d"),0)</f>
        <v>0</v>
      </c>
      <c r="O118" s="81">
        <f>IF(Data!M118="CD",1,0)</f>
        <v>1</v>
      </c>
      <c r="P118" s="81">
        <f>IF(Data!M118="CD",0,1)</f>
        <v>0</v>
      </c>
      <c r="Q118" s="81">
        <f>IF(Data!Q118&gt;Data!P118,DATEDIF(Data!P118,Data!Q118,"d"),0)</f>
        <v>0</v>
      </c>
      <c r="R118" s="81">
        <f>IF(Data!R118&gt;Data!Q118,DATEDIF(Data!Q118,Data!R118,"d"),0)</f>
        <v>20</v>
      </c>
      <c r="X118"/>
      <c r="Y118"/>
      <c r="Z118"/>
    </row>
    <row r="119" spans="2:26" ht="16" x14ac:dyDescent="0.2">
      <c r="B119" s="45"/>
      <c r="C119" s="80">
        <f t="shared" ca="1" si="3"/>
        <v>45959</v>
      </c>
      <c r="D119" s="81">
        <f ca="1">IF(Data!I119&lt;&gt;"",DATEDIF(Data!I119,C119,"m"),0)</f>
        <v>27</v>
      </c>
      <c r="E119" s="82">
        <f t="shared" ca="1" si="4"/>
        <v>2.25</v>
      </c>
      <c r="I119" s="81" t="str">
        <f>CONCATENATE(Data!M119,"-",Data!L119)</f>
        <v>CD-BA</v>
      </c>
      <c r="N119" s="81">
        <f>IF(Data!P119,DATEDIF(Data!O119,Data!P119,"d"),0)</f>
        <v>0</v>
      </c>
      <c r="O119" s="81">
        <f>IF(Data!M119="CD",1,0)</f>
        <v>1</v>
      </c>
      <c r="P119" s="81">
        <f>IF(Data!M119="CD",0,1)</f>
        <v>0</v>
      </c>
      <c r="Q119" s="81">
        <f>IF(Data!Q119&gt;Data!P119,DATEDIF(Data!P119,Data!Q119,"d"),0)</f>
        <v>19</v>
      </c>
      <c r="R119" s="81">
        <f>IF(Data!R119&gt;Data!Q119,DATEDIF(Data!Q119,Data!R119,"d"),0)</f>
        <v>0</v>
      </c>
      <c r="X119"/>
      <c r="Y119"/>
      <c r="Z119"/>
    </row>
    <row r="120" spans="2:26" ht="16" x14ac:dyDescent="0.2">
      <c r="B120" s="45"/>
      <c r="C120" s="80">
        <f t="shared" ca="1" si="3"/>
        <v>45959</v>
      </c>
      <c r="D120" s="81">
        <f ca="1">IF(Data!I120&lt;&gt;"",DATEDIF(Data!I120,C120,"m"),0)</f>
        <v>19</v>
      </c>
      <c r="E120" s="82">
        <f t="shared" ca="1" si="4"/>
        <v>1.5833333333333333</v>
      </c>
      <c r="I120" s="81" t="str">
        <f>CONCATENATE(Data!M120,"-",Data!L120)</f>
        <v>CD-CH</v>
      </c>
      <c r="N120" s="81">
        <f>IF(Data!P120,DATEDIF(Data!O120,Data!P120,"d"),0)</f>
        <v>0</v>
      </c>
      <c r="O120" s="81">
        <f>IF(Data!M120="CD",1,0)</f>
        <v>1</v>
      </c>
      <c r="P120" s="81">
        <f>IF(Data!M120="CD",0,1)</f>
        <v>0</v>
      </c>
      <c r="Q120" s="81">
        <f>IF(Data!Q120&gt;Data!P120,DATEDIF(Data!P120,Data!Q120,"d"),0)</f>
        <v>20</v>
      </c>
      <c r="R120" s="81">
        <f>IF(Data!R120&gt;Data!Q120,DATEDIF(Data!Q120,Data!R120,"d"),0)</f>
        <v>0</v>
      </c>
      <c r="X120"/>
      <c r="Y120"/>
      <c r="Z120"/>
    </row>
    <row r="121" spans="2:26" ht="16" x14ac:dyDescent="0.2">
      <c r="B121" s="45"/>
      <c r="C121" s="80">
        <f t="shared" ca="1" si="3"/>
        <v>45959</v>
      </c>
      <c r="D121" s="81">
        <f ca="1">IF(Data!I121&lt;&gt;"",DATEDIF(Data!I121,C121,"m"),0)</f>
        <v>18</v>
      </c>
      <c r="E121" s="82">
        <f t="shared" ca="1" si="4"/>
        <v>1.5</v>
      </c>
      <c r="I121" s="81" t="str">
        <f>CONCATENATE(Data!M121,"-",Data!L121)</f>
        <v>CD-GE</v>
      </c>
      <c r="N121" s="81">
        <f>IF(Data!P121,DATEDIF(Data!O121,Data!P121,"d"),0)</f>
        <v>15</v>
      </c>
      <c r="O121" s="81">
        <f>IF(Data!M121="CD",1,0)</f>
        <v>1</v>
      </c>
      <c r="P121" s="81">
        <f>IF(Data!M121="CD",0,1)</f>
        <v>0</v>
      </c>
      <c r="Q121" s="81">
        <f>IF(Data!Q121&gt;Data!P121,DATEDIF(Data!P121,Data!Q121,"d"),0)</f>
        <v>7</v>
      </c>
      <c r="R121" s="81">
        <f>IF(Data!R121&gt;Data!Q121,DATEDIF(Data!Q121,Data!R121,"d"),0)</f>
        <v>16</v>
      </c>
      <c r="X121"/>
      <c r="Y121"/>
      <c r="Z121"/>
    </row>
    <row r="122" spans="2:26" ht="16" x14ac:dyDescent="0.2">
      <c r="B122" s="45"/>
      <c r="C122" s="80">
        <f t="shared" ca="1" si="3"/>
        <v>45959</v>
      </c>
      <c r="D122" s="81">
        <f ca="1">IF(Data!I122&lt;&gt;"",DATEDIF(Data!I122,C122,"m"),0)</f>
        <v>72</v>
      </c>
      <c r="E122" s="82">
        <f t="shared" ca="1" si="4"/>
        <v>6</v>
      </c>
      <c r="I122" s="81" t="str">
        <f>CONCATENATE(Data!M122,"-",Data!L122)</f>
        <v>CD-GE</v>
      </c>
      <c r="N122" s="81">
        <f>IF(Data!P122,DATEDIF(Data!O122,Data!P122,"d"),0)</f>
        <v>18</v>
      </c>
      <c r="O122" s="81">
        <f>IF(Data!M122="CD",1,0)</f>
        <v>1</v>
      </c>
      <c r="P122" s="81">
        <f>IF(Data!M122="CD",0,1)</f>
        <v>0</v>
      </c>
      <c r="Q122" s="81">
        <f>IF(Data!Q122&gt;Data!P122,DATEDIF(Data!P122,Data!Q122,"d"),0)</f>
        <v>0</v>
      </c>
      <c r="R122" s="81">
        <f>IF(Data!R122&gt;Data!Q122,DATEDIF(Data!Q122,Data!R122,"d"),0)</f>
        <v>7</v>
      </c>
      <c r="X122"/>
      <c r="Y122"/>
      <c r="Z122"/>
    </row>
    <row r="123" spans="2:26" ht="16" x14ac:dyDescent="0.2">
      <c r="B123" s="45"/>
      <c r="C123" s="80">
        <f t="shared" ca="1" si="3"/>
        <v>45959</v>
      </c>
      <c r="D123" s="81">
        <f ca="1">IF(Data!I123&lt;&gt;"",DATEDIF(Data!I123,C123,"m"),0)</f>
        <v>94</v>
      </c>
      <c r="E123" s="82">
        <f t="shared" ca="1" si="4"/>
        <v>7.833333333333333</v>
      </c>
      <c r="I123" s="81" t="str">
        <f>CONCATENATE(Data!M123,"-",Data!L123)</f>
        <v>CD-GE</v>
      </c>
      <c r="N123" s="81">
        <f>IF(Data!P123,DATEDIF(Data!O123,Data!P123,"d"),0)</f>
        <v>19</v>
      </c>
      <c r="O123" s="81">
        <f>IF(Data!M123="CD",1,0)</f>
        <v>1</v>
      </c>
      <c r="P123" s="81">
        <f>IF(Data!M123="CD",0,1)</f>
        <v>0</v>
      </c>
      <c r="Q123" s="81">
        <f>IF(Data!Q123&gt;Data!P123,DATEDIF(Data!P123,Data!Q123,"d"),0)</f>
        <v>8</v>
      </c>
      <c r="R123" s="81">
        <f>IF(Data!R123&gt;Data!Q123,DATEDIF(Data!Q123,Data!R123,"d"),0)</f>
        <v>26</v>
      </c>
      <c r="X123"/>
      <c r="Y123"/>
      <c r="Z123"/>
    </row>
    <row r="124" spans="2:26" ht="16" x14ac:dyDescent="0.2">
      <c r="B124" s="45"/>
      <c r="C124" s="80">
        <f t="shared" ca="1" si="3"/>
        <v>45959</v>
      </c>
      <c r="D124" s="81">
        <f ca="1">IF(Data!I124&lt;&gt;"",DATEDIF(Data!I124,C124,"m"),0)</f>
        <v>23</v>
      </c>
      <c r="E124" s="82">
        <f t="shared" ca="1" si="4"/>
        <v>1.9166666666666667</v>
      </c>
      <c r="I124" s="81" t="str">
        <f>CONCATENATE(Data!M124,"-",Data!L124)</f>
        <v>CD-BA</v>
      </c>
      <c r="N124" s="81">
        <f>IF(Data!P124,DATEDIF(Data!O124,Data!P124,"d"),0)</f>
        <v>6</v>
      </c>
      <c r="O124" s="81">
        <f>IF(Data!M124="CD",1,0)</f>
        <v>1</v>
      </c>
      <c r="P124" s="81">
        <f>IF(Data!M124="CD",0,1)</f>
        <v>0</v>
      </c>
      <c r="Q124" s="81">
        <f>IF(Data!Q124&gt;Data!P124,DATEDIF(Data!P124,Data!Q124,"d"),0)</f>
        <v>19</v>
      </c>
      <c r="R124" s="81">
        <f>IF(Data!R124&gt;Data!Q124,DATEDIF(Data!Q124,Data!R124,"d"),0)</f>
        <v>51</v>
      </c>
      <c r="X124"/>
      <c r="Y124"/>
      <c r="Z124"/>
    </row>
    <row r="125" spans="2:26" ht="16" x14ac:dyDescent="0.2">
      <c r="B125" s="45"/>
      <c r="C125" s="80">
        <f t="shared" ca="1" si="3"/>
        <v>45959</v>
      </c>
      <c r="D125" s="81">
        <f ca="1">IF(Data!I125&lt;&gt;"",DATEDIF(Data!I125,C125,"m"),0)</f>
        <v>3</v>
      </c>
      <c r="E125" s="82">
        <f t="shared" ca="1" si="4"/>
        <v>0.25</v>
      </c>
      <c r="I125" s="81" t="str">
        <f>CONCATENATE(Data!M125,"-",Data!L125)</f>
        <v>SR-CH</v>
      </c>
      <c r="N125" s="81">
        <f>IF(Data!P125,DATEDIF(Data!O125,Data!P125,"d"),0)</f>
        <v>13</v>
      </c>
      <c r="O125" s="81">
        <f>IF(Data!M125="CD",1,0)</f>
        <v>0</v>
      </c>
      <c r="P125" s="81">
        <f>IF(Data!M125="CD",0,1)</f>
        <v>1</v>
      </c>
      <c r="Q125" s="81">
        <f>IF(Data!Q125&gt;Data!P125,DATEDIF(Data!P125,Data!Q125,"d"),0)</f>
        <v>1</v>
      </c>
      <c r="R125" s="81">
        <f>IF(Data!R125&gt;Data!Q125,DATEDIF(Data!Q125,Data!R125,"d"),0)</f>
        <v>28</v>
      </c>
      <c r="X125"/>
      <c r="Y125"/>
      <c r="Z125"/>
    </row>
    <row r="126" spans="2:26" ht="16" x14ac:dyDescent="0.2">
      <c r="B126" s="45"/>
      <c r="C126" s="80">
        <f t="shared" ca="1" si="3"/>
        <v>45959</v>
      </c>
      <c r="D126" s="81">
        <f ca="1">IF(Data!I126&lt;&gt;"",DATEDIF(Data!I126,C126,"m"),0)</f>
        <v>39</v>
      </c>
      <c r="E126" s="82">
        <f t="shared" ca="1" si="4"/>
        <v>3.25</v>
      </c>
      <c r="I126" s="81" t="str">
        <f>CONCATENATE(Data!M126,"-",Data!L126)</f>
        <v>CD-BA</v>
      </c>
      <c r="N126" s="81">
        <f>IF(Data!P126,DATEDIF(Data!O126,Data!P126,"d"),0)</f>
        <v>7</v>
      </c>
      <c r="O126" s="81">
        <f>IF(Data!M126="CD",1,0)</f>
        <v>1</v>
      </c>
      <c r="P126" s="81">
        <f>IF(Data!M126="CD",0,1)</f>
        <v>0</v>
      </c>
      <c r="Q126" s="81">
        <f>IF(Data!Q126&gt;Data!P126,DATEDIF(Data!P126,Data!Q126,"d"),0)</f>
        <v>6</v>
      </c>
      <c r="R126" s="81">
        <f>IF(Data!R126&gt;Data!Q126,DATEDIF(Data!Q126,Data!R126,"d"),0)</f>
        <v>15</v>
      </c>
      <c r="X126"/>
      <c r="Y126"/>
      <c r="Z126"/>
    </row>
    <row r="127" spans="2:26" ht="16" x14ac:dyDescent="0.2">
      <c r="B127" s="45"/>
      <c r="C127" s="80">
        <f t="shared" ca="1" si="3"/>
        <v>45959</v>
      </c>
      <c r="D127" s="81">
        <f ca="1">IF(Data!I127&lt;&gt;"",DATEDIF(Data!I127,C127,"m"),0)</f>
        <v>15</v>
      </c>
      <c r="E127" s="82">
        <f t="shared" ca="1" si="4"/>
        <v>1.25</v>
      </c>
      <c r="I127" s="81" t="str">
        <f>CONCATENATE(Data!M127,"-",Data!L127)</f>
        <v>CI-BA</v>
      </c>
      <c r="N127" s="81">
        <f>IF(Data!P127,DATEDIF(Data!O127,Data!P127,"d"),0)</f>
        <v>35</v>
      </c>
      <c r="O127" s="81">
        <f>IF(Data!M127="CD",1,0)</f>
        <v>0</v>
      </c>
      <c r="P127" s="81">
        <f>IF(Data!M127="CD",0,1)</f>
        <v>1</v>
      </c>
      <c r="Q127" s="81">
        <f>IF(Data!Q127&gt;Data!P127,DATEDIF(Data!P127,Data!Q127,"d"),0)</f>
        <v>5</v>
      </c>
      <c r="R127" s="81">
        <f>IF(Data!R127&gt;Data!Q127,DATEDIF(Data!Q127,Data!R127,"d"),0)</f>
        <v>1</v>
      </c>
      <c r="X127"/>
      <c r="Y127"/>
      <c r="Z127"/>
    </row>
    <row r="128" spans="2:26" ht="16" x14ac:dyDescent="0.2">
      <c r="B128" s="45"/>
      <c r="C128" s="80">
        <f t="shared" ca="1" si="3"/>
        <v>45959</v>
      </c>
      <c r="D128" s="81">
        <f ca="1">IF(Data!I128&lt;&gt;"",DATEDIF(Data!I128,C128,"m"),0)</f>
        <v>3</v>
      </c>
      <c r="E128" s="82">
        <f t="shared" ca="1" si="4"/>
        <v>0.25</v>
      </c>
      <c r="I128" s="81" t="str">
        <f>CONCATENATE(Data!M128,"-",Data!L128)</f>
        <v>ML-CH</v>
      </c>
      <c r="N128" s="81">
        <f>IF(Data!P128,DATEDIF(Data!O128,Data!P128,"d"),0)</f>
        <v>0</v>
      </c>
      <c r="O128" s="81">
        <f>IF(Data!M128="CD",1,0)</f>
        <v>0</v>
      </c>
      <c r="P128" s="81">
        <f>IF(Data!M128="CD",0,1)</f>
        <v>1</v>
      </c>
      <c r="Q128" s="81">
        <f>IF(Data!Q128&gt;Data!P128,DATEDIF(Data!P128,Data!Q128,"d"),0)</f>
        <v>0</v>
      </c>
      <c r="R128" s="81">
        <f>IF(Data!R128&gt;Data!Q128,DATEDIF(Data!Q128,Data!R128,"d"),0)</f>
        <v>0</v>
      </c>
      <c r="X128"/>
      <c r="Y128"/>
      <c r="Z128"/>
    </row>
    <row r="129" spans="2:26" ht="16" x14ac:dyDescent="0.2">
      <c r="B129" s="45"/>
      <c r="C129" s="80">
        <f t="shared" ca="1" si="3"/>
        <v>45959</v>
      </c>
      <c r="D129" s="81">
        <f ca="1">IF(Data!I129&lt;&gt;"",DATEDIF(Data!I129,C129,"m"),0)</f>
        <v>3</v>
      </c>
      <c r="E129" s="82">
        <f t="shared" ca="1" si="4"/>
        <v>0.25</v>
      </c>
      <c r="I129" s="81" t="str">
        <f>CONCATENATE(Data!M129,"-",Data!L129)</f>
        <v>CD-BA</v>
      </c>
      <c r="N129" s="81">
        <f>IF(Data!P129,DATEDIF(Data!O129,Data!P129,"d"),0)</f>
        <v>0</v>
      </c>
      <c r="O129" s="81">
        <f>IF(Data!M129="CD",1,0)</f>
        <v>1</v>
      </c>
      <c r="P129" s="81">
        <f>IF(Data!M129="CD",0,1)</f>
        <v>0</v>
      </c>
      <c r="Q129" s="81">
        <f>IF(Data!Q129&gt;Data!P129,DATEDIF(Data!P129,Data!Q129,"d"),0)</f>
        <v>0</v>
      </c>
      <c r="R129" s="81">
        <f>IF(Data!R129&gt;Data!Q129,DATEDIF(Data!Q129,Data!R129,"d"),0)</f>
        <v>0</v>
      </c>
      <c r="X129"/>
      <c r="Y129"/>
      <c r="Z129"/>
    </row>
    <row r="130" spans="2:26" ht="16" x14ac:dyDescent="0.2">
      <c r="B130" s="45"/>
      <c r="C130" s="80">
        <f t="shared" ref="C130:C193" ca="1" si="5">TODAY()</f>
        <v>45959</v>
      </c>
      <c r="D130" s="81">
        <f ca="1">IF(Data!I130&lt;&gt;"",DATEDIF(Data!I130,C130,"m"),0)</f>
        <v>196</v>
      </c>
      <c r="E130" s="82">
        <f t="shared" ca="1" si="4"/>
        <v>16.333333333333332</v>
      </c>
      <c r="I130" s="81" t="str">
        <f>CONCATENATE(Data!M130,"-",Data!L130)</f>
        <v>CD-BA</v>
      </c>
      <c r="N130" s="81">
        <f>IF(Data!P130,DATEDIF(Data!O130,Data!P130,"d"),0)</f>
        <v>4</v>
      </c>
      <c r="O130" s="81">
        <f>IF(Data!M130="CD",1,0)</f>
        <v>1</v>
      </c>
      <c r="P130" s="81">
        <f>IF(Data!M130="CD",0,1)</f>
        <v>0</v>
      </c>
      <c r="Q130" s="81">
        <f>IF(Data!Q130&gt;Data!P130,DATEDIF(Data!P130,Data!Q130,"d"),0)</f>
        <v>13</v>
      </c>
      <c r="R130" s="81">
        <f>IF(Data!R130&gt;Data!Q130,DATEDIF(Data!Q130,Data!R130,"d"),0)</f>
        <v>60</v>
      </c>
      <c r="X130"/>
      <c r="Y130"/>
      <c r="Z130"/>
    </row>
    <row r="131" spans="2:26" ht="16" x14ac:dyDescent="0.2">
      <c r="B131" s="45"/>
      <c r="C131" s="80">
        <f t="shared" ca="1" si="5"/>
        <v>45959</v>
      </c>
      <c r="D131" s="81">
        <f ca="1">IF(Data!I131&lt;&gt;"",DATEDIF(Data!I131,C131,"m"),0)</f>
        <v>35</v>
      </c>
      <c r="E131" s="82">
        <f t="shared" ref="E131:E194" ca="1" si="6">D131/12</f>
        <v>2.9166666666666665</v>
      </c>
      <c r="I131" s="81" t="str">
        <f>CONCATENATE(Data!M131,"-",Data!L131)</f>
        <v>CD-BA</v>
      </c>
      <c r="N131" s="81">
        <f>IF(Data!P131,DATEDIF(Data!O131,Data!P131,"d"),0)</f>
        <v>0</v>
      </c>
      <c r="O131" s="81">
        <f>IF(Data!M131="CD",1,0)</f>
        <v>1</v>
      </c>
      <c r="P131" s="81">
        <f>IF(Data!M131="CD",0,1)</f>
        <v>0</v>
      </c>
      <c r="Q131" s="81">
        <f>IF(Data!Q131&gt;Data!P131,DATEDIF(Data!P131,Data!Q131,"d"),0)</f>
        <v>10</v>
      </c>
      <c r="R131" s="81">
        <f>IF(Data!R131&gt;Data!Q131,DATEDIF(Data!Q131,Data!R131,"d"),0)</f>
        <v>41</v>
      </c>
      <c r="X131"/>
      <c r="Y131"/>
      <c r="Z131"/>
    </row>
    <row r="132" spans="2:26" ht="16" x14ac:dyDescent="0.2">
      <c r="B132" s="45"/>
      <c r="C132" s="80">
        <f t="shared" ca="1" si="5"/>
        <v>45959</v>
      </c>
      <c r="D132" s="81">
        <f ca="1">IF(Data!I132&lt;&gt;"",DATEDIF(Data!I132,C132,"m"),0)</f>
        <v>11</v>
      </c>
      <c r="E132" s="82">
        <f t="shared" ca="1" si="6"/>
        <v>0.91666666666666663</v>
      </c>
      <c r="I132" s="81" t="str">
        <f>CONCATENATE(Data!M132,"-",Data!L132)</f>
        <v>CD-BA</v>
      </c>
      <c r="N132" s="81">
        <f>IF(Data!P132,DATEDIF(Data!O132,Data!P132,"d"),0)</f>
        <v>3</v>
      </c>
      <c r="O132" s="81">
        <f>IF(Data!M132="CD",1,0)</f>
        <v>1</v>
      </c>
      <c r="P132" s="81">
        <f>IF(Data!M132="CD",0,1)</f>
        <v>0</v>
      </c>
      <c r="Q132" s="81">
        <f>IF(Data!Q132&gt;Data!P132,DATEDIF(Data!P132,Data!Q132,"d"),0)</f>
        <v>0</v>
      </c>
      <c r="R132" s="81">
        <f>IF(Data!R132&gt;Data!Q132,DATEDIF(Data!Q132,Data!R132,"d"),0)</f>
        <v>44</v>
      </c>
      <c r="X132"/>
      <c r="Y132"/>
      <c r="Z132"/>
    </row>
    <row r="133" spans="2:26" ht="16" x14ac:dyDescent="0.2">
      <c r="B133" s="45"/>
      <c r="C133" s="80">
        <f t="shared" ca="1" si="5"/>
        <v>45959</v>
      </c>
      <c r="D133" s="81">
        <f ca="1">IF(Data!I133&lt;&gt;"",DATEDIF(Data!I133,C133,"m"),0)</f>
        <v>86</v>
      </c>
      <c r="E133" s="82">
        <f t="shared" ca="1" si="6"/>
        <v>7.166666666666667</v>
      </c>
      <c r="I133" s="81" t="str">
        <f>CONCATENATE(Data!M133,"-",Data!L133)</f>
        <v>TR-GE</v>
      </c>
      <c r="N133" s="81">
        <f>IF(Data!P133,DATEDIF(Data!O133,Data!P133,"d"),0)</f>
        <v>26</v>
      </c>
      <c r="O133" s="81">
        <f>IF(Data!M133="CD",1,0)</f>
        <v>0</v>
      </c>
      <c r="P133" s="81">
        <f>IF(Data!M133="CD",0,1)</f>
        <v>1</v>
      </c>
      <c r="Q133" s="81">
        <f>IF(Data!Q133&gt;Data!P133,DATEDIF(Data!P133,Data!Q133,"d"),0)</f>
        <v>0</v>
      </c>
      <c r="R133" s="81">
        <f>IF(Data!R133&gt;Data!Q133,DATEDIF(Data!Q133,Data!R133,"d"),0)</f>
        <v>9</v>
      </c>
      <c r="X133"/>
      <c r="Y133"/>
      <c r="Z133"/>
    </row>
    <row r="134" spans="2:26" ht="16" x14ac:dyDescent="0.2">
      <c r="B134" s="45"/>
      <c r="C134" s="80">
        <f t="shared" ca="1" si="5"/>
        <v>45959</v>
      </c>
      <c r="D134" s="81">
        <f ca="1">IF(Data!I134&lt;&gt;"",DATEDIF(Data!I134,C134,"m"),0)</f>
        <v>84</v>
      </c>
      <c r="E134" s="82">
        <f t="shared" ca="1" si="6"/>
        <v>7</v>
      </c>
      <c r="I134" s="81" t="str">
        <f>CONCATENATE(Data!M134,"-",Data!L134)</f>
        <v>CI-BA</v>
      </c>
      <c r="N134" s="81">
        <f>IF(Data!P134,DATEDIF(Data!O134,Data!P134,"d"),0)</f>
        <v>4</v>
      </c>
      <c r="O134" s="81">
        <f>IF(Data!M134="CD",1,0)</f>
        <v>0</v>
      </c>
      <c r="P134" s="81">
        <f>IF(Data!M134="CD",0,1)</f>
        <v>1</v>
      </c>
      <c r="Q134" s="81">
        <f>IF(Data!Q134&gt;Data!P134,DATEDIF(Data!P134,Data!Q134,"d"),0)</f>
        <v>14</v>
      </c>
      <c r="R134" s="81">
        <f>IF(Data!R134&gt;Data!Q134,DATEDIF(Data!Q134,Data!R134,"d"),0)</f>
        <v>16</v>
      </c>
      <c r="X134"/>
      <c r="Y134"/>
      <c r="Z134"/>
    </row>
    <row r="135" spans="2:26" ht="16" x14ac:dyDescent="0.2">
      <c r="B135" s="45"/>
      <c r="C135" s="80">
        <f t="shared" ca="1" si="5"/>
        <v>45959</v>
      </c>
      <c r="D135" s="81">
        <f ca="1">IF(Data!I135&lt;&gt;"",DATEDIF(Data!I135,C135,"m"),0)</f>
        <v>47</v>
      </c>
      <c r="E135" s="82">
        <f t="shared" ca="1" si="6"/>
        <v>3.9166666666666665</v>
      </c>
      <c r="I135" s="81" t="str">
        <f>CONCATENATE(Data!M135,"-",Data!L135)</f>
        <v>CD-CH</v>
      </c>
      <c r="N135" s="81">
        <f>IF(Data!P135,DATEDIF(Data!O135,Data!P135,"d"),0)</f>
        <v>1</v>
      </c>
      <c r="O135" s="81">
        <f>IF(Data!M135="CD",1,0)</f>
        <v>1</v>
      </c>
      <c r="P135" s="81">
        <f>IF(Data!M135="CD",0,1)</f>
        <v>0</v>
      </c>
      <c r="Q135" s="81">
        <f>IF(Data!Q135&gt;Data!P135,DATEDIF(Data!P135,Data!Q135,"d"),0)</f>
        <v>3</v>
      </c>
      <c r="R135" s="81">
        <f>IF(Data!R135&gt;Data!Q135,DATEDIF(Data!Q135,Data!R135,"d"),0)</f>
        <v>16</v>
      </c>
      <c r="X135"/>
      <c r="Y135"/>
      <c r="Z135"/>
    </row>
    <row r="136" spans="2:26" ht="16" x14ac:dyDescent="0.2">
      <c r="B136" s="45"/>
      <c r="C136" s="80">
        <f t="shared" ca="1" si="5"/>
        <v>45959</v>
      </c>
      <c r="D136" s="81">
        <f ca="1">IF(Data!I136&lt;&gt;"",DATEDIF(Data!I136,C136,"m"),0)</f>
        <v>141</v>
      </c>
      <c r="E136" s="82">
        <f t="shared" ca="1" si="6"/>
        <v>11.75</v>
      </c>
      <c r="I136" s="81" t="str">
        <f>CONCATENATE(Data!M136,"-",Data!L136)</f>
        <v>TR-GE</v>
      </c>
      <c r="N136" s="81">
        <f>IF(Data!P136,DATEDIF(Data!O136,Data!P136,"d"),0)</f>
        <v>64</v>
      </c>
      <c r="O136" s="81">
        <f>IF(Data!M136="CD",1,0)</f>
        <v>0</v>
      </c>
      <c r="P136" s="81">
        <f>IF(Data!M136="CD",0,1)</f>
        <v>1</v>
      </c>
      <c r="Q136" s="81">
        <f>IF(Data!Q136&gt;Data!P136,DATEDIF(Data!P136,Data!Q136,"d"),0)</f>
        <v>0</v>
      </c>
      <c r="R136" s="81">
        <f>IF(Data!R136&gt;Data!Q136,DATEDIF(Data!Q136,Data!R136,"d"),0)</f>
        <v>3</v>
      </c>
      <c r="X136"/>
      <c r="Y136"/>
      <c r="Z136"/>
    </row>
    <row r="137" spans="2:26" ht="16" x14ac:dyDescent="0.2">
      <c r="B137" s="45"/>
      <c r="C137" s="80">
        <f t="shared" ca="1" si="5"/>
        <v>45959</v>
      </c>
      <c r="D137" s="81">
        <f ca="1">IF(Data!I137&lt;&gt;"",DATEDIF(Data!I137,C137,"m"),0)</f>
        <v>57</v>
      </c>
      <c r="E137" s="82">
        <f t="shared" ca="1" si="6"/>
        <v>4.75</v>
      </c>
      <c r="I137" s="81" t="str">
        <f>CONCATENATE(Data!M137,"-",Data!L137)</f>
        <v>CD-GE</v>
      </c>
      <c r="N137" s="81">
        <f>IF(Data!P137,DATEDIF(Data!O137,Data!P137,"d"),0)</f>
        <v>26</v>
      </c>
      <c r="O137" s="81">
        <f>IF(Data!M137="CD",1,0)</f>
        <v>1</v>
      </c>
      <c r="P137" s="81">
        <f>IF(Data!M137="CD",0,1)</f>
        <v>0</v>
      </c>
      <c r="Q137" s="81">
        <f>IF(Data!Q137&gt;Data!P137,DATEDIF(Data!P137,Data!Q137,"d"),0)</f>
        <v>0</v>
      </c>
      <c r="R137" s="81">
        <f>IF(Data!R137&gt;Data!Q137,DATEDIF(Data!Q137,Data!R137,"d"),0)</f>
        <v>7</v>
      </c>
      <c r="X137"/>
      <c r="Y137"/>
      <c r="Z137"/>
    </row>
    <row r="138" spans="2:26" ht="16" x14ac:dyDescent="0.2">
      <c r="B138" s="45"/>
      <c r="C138" s="80">
        <f t="shared" ca="1" si="5"/>
        <v>45959</v>
      </c>
      <c r="D138" s="81">
        <f ca="1">IF(Data!I138&lt;&gt;"",DATEDIF(Data!I138,C138,"m"),0)</f>
        <v>13</v>
      </c>
      <c r="E138" s="82">
        <f t="shared" ca="1" si="6"/>
        <v>1.0833333333333333</v>
      </c>
      <c r="I138" s="81" t="str">
        <f>CONCATENATE(Data!M138,"-",Data!L138)</f>
        <v>CD-BA</v>
      </c>
      <c r="N138" s="81">
        <f>IF(Data!P138,DATEDIF(Data!O138,Data!P138,"d"),0)</f>
        <v>5</v>
      </c>
      <c r="O138" s="81">
        <f>IF(Data!M138="CD",1,0)</f>
        <v>1</v>
      </c>
      <c r="P138" s="81">
        <f>IF(Data!M138="CD",0,1)</f>
        <v>0</v>
      </c>
      <c r="Q138" s="81">
        <f>IF(Data!Q138&gt;Data!P138,DATEDIF(Data!P138,Data!Q138,"d"),0)</f>
        <v>0</v>
      </c>
      <c r="R138" s="81">
        <f>IF(Data!R138&gt;Data!Q138,DATEDIF(Data!Q138,Data!R138,"d"),0)</f>
        <v>16</v>
      </c>
      <c r="X138"/>
      <c r="Y138"/>
      <c r="Z138"/>
    </row>
    <row r="139" spans="2:26" ht="16" x14ac:dyDescent="0.2">
      <c r="B139" s="45"/>
      <c r="C139" s="80">
        <f t="shared" ca="1" si="5"/>
        <v>45959</v>
      </c>
      <c r="D139" s="81">
        <f ca="1">IF(Data!I139&lt;&gt;"",DATEDIF(Data!I139,C139,"m"),0)</f>
        <v>38</v>
      </c>
      <c r="E139" s="82">
        <f t="shared" ca="1" si="6"/>
        <v>3.1666666666666665</v>
      </c>
      <c r="I139" s="81" t="str">
        <f>CONCATENATE(Data!M139,"-",Data!L139)</f>
        <v>CD-VA</v>
      </c>
      <c r="N139" s="81">
        <f>IF(Data!P139,DATEDIF(Data!O139,Data!P139,"d"),0)</f>
        <v>0</v>
      </c>
      <c r="O139" s="81">
        <f>IF(Data!M139="CD",1,0)</f>
        <v>1</v>
      </c>
      <c r="P139" s="81">
        <f>IF(Data!M139="CD",0,1)</f>
        <v>0</v>
      </c>
      <c r="Q139" s="81">
        <f>IF(Data!Q139&gt;Data!P139,DATEDIF(Data!P139,Data!Q139,"d"),0)</f>
        <v>0</v>
      </c>
      <c r="R139" s="81">
        <f>IF(Data!R139&gt;Data!Q139,DATEDIF(Data!Q139,Data!R139,"d"),0)</f>
        <v>0</v>
      </c>
      <c r="X139"/>
      <c r="Y139"/>
      <c r="Z139"/>
    </row>
    <row r="140" spans="2:26" ht="16" x14ac:dyDescent="0.2">
      <c r="B140" s="45"/>
      <c r="C140" s="80">
        <f t="shared" ca="1" si="5"/>
        <v>45959</v>
      </c>
      <c r="D140" s="81">
        <f ca="1">IF(Data!I140&lt;&gt;"",DATEDIF(Data!I140,C140,"m"),0)</f>
        <v>21</v>
      </c>
      <c r="E140" s="82">
        <f t="shared" ca="1" si="6"/>
        <v>1.75</v>
      </c>
      <c r="I140" s="81" t="str">
        <f>CONCATENATE(Data!M140,"-",Data!L140)</f>
        <v>CD-GE</v>
      </c>
      <c r="N140" s="81">
        <f>IF(Data!P140,DATEDIF(Data!O140,Data!P140,"d"),0)</f>
        <v>24</v>
      </c>
      <c r="O140" s="81">
        <f>IF(Data!M140="CD",1,0)</f>
        <v>1</v>
      </c>
      <c r="P140" s="81">
        <f>IF(Data!M140="CD",0,1)</f>
        <v>0</v>
      </c>
      <c r="Q140" s="81">
        <f>IF(Data!Q140&gt;Data!P140,DATEDIF(Data!P140,Data!Q140,"d"),0)</f>
        <v>3</v>
      </c>
      <c r="R140" s="81">
        <f>IF(Data!R140&gt;Data!Q140,DATEDIF(Data!Q140,Data!R140,"d"),0)</f>
        <v>4</v>
      </c>
      <c r="X140"/>
      <c r="Y140"/>
      <c r="Z140"/>
    </row>
    <row r="141" spans="2:26" ht="16" x14ac:dyDescent="0.2">
      <c r="B141" s="45"/>
      <c r="C141" s="80">
        <f t="shared" ca="1" si="5"/>
        <v>45959</v>
      </c>
      <c r="D141" s="81">
        <f ca="1">IF(Data!I141&lt;&gt;"",DATEDIF(Data!I141,C141,"m"),0)</f>
        <v>8</v>
      </c>
      <c r="E141" s="82">
        <f t="shared" ca="1" si="6"/>
        <v>0.66666666666666663</v>
      </c>
      <c r="I141" s="81" t="str">
        <f>CONCATENATE(Data!M141,"-",Data!L141)</f>
        <v>CD-VA</v>
      </c>
      <c r="N141" s="81">
        <f>IF(Data!P141,DATEDIF(Data!O141,Data!P141,"d"),0)</f>
        <v>0</v>
      </c>
      <c r="O141" s="81">
        <f>IF(Data!M141="CD",1,0)</f>
        <v>1</v>
      </c>
      <c r="P141" s="81">
        <f>IF(Data!M141="CD",0,1)</f>
        <v>0</v>
      </c>
      <c r="Q141" s="81">
        <f>IF(Data!Q141&gt;Data!P141,DATEDIF(Data!P141,Data!Q141,"d"),0)</f>
        <v>27</v>
      </c>
      <c r="R141" s="81">
        <f>IF(Data!R141&gt;Data!Q141,DATEDIF(Data!Q141,Data!R141,"d"),0)</f>
        <v>0</v>
      </c>
      <c r="X141"/>
      <c r="Y141"/>
      <c r="Z141"/>
    </row>
    <row r="142" spans="2:26" ht="16" x14ac:dyDescent="0.2">
      <c r="B142" s="45"/>
      <c r="C142" s="80">
        <f t="shared" ca="1" si="5"/>
        <v>45959</v>
      </c>
      <c r="D142" s="81">
        <f ca="1">IF(Data!I142&lt;&gt;"",DATEDIF(Data!I142,C142,"m"),0)</f>
        <v>85</v>
      </c>
      <c r="E142" s="82">
        <f t="shared" ca="1" si="6"/>
        <v>7.083333333333333</v>
      </c>
      <c r="I142" s="81" t="str">
        <f>CONCATENATE(Data!M142,"-",Data!L142)</f>
        <v>CD-GE</v>
      </c>
      <c r="N142" s="81">
        <f>IF(Data!P142,DATEDIF(Data!O142,Data!P142,"d"),0)</f>
        <v>29</v>
      </c>
      <c r="O142" s="81">
        <f>IF(Data!M142="CD",1,0)</f>
        <v>1</v>
      </c>
      <c r="P142" s="81">
        <f>IF(Data!M142="CD",0,1)</f>
        <v>0</v>
      </c>
      <c r="Q142" s="81">
        <f>IF(Data!Q142&gt;Data!P142,DATEDIF(Data!P142,Data!Q142,"d"),0)</f>
        <v>29</v>
      </c>
      <c r="R142" s="81">
        <f>IF(Data!R142&gt;Data!Q142,DATEDIF(Data!Q142,Data!R142,"d"),0)</f>
        <v>0</v>
      </c>
      <c r="X142"/>
      <c r="Y142"/>
      <c r="Z142"/>
    </row>
    <row r="143" spans="2:26" ht="16" x14ac:dyDescent="0.2">
      <c r="B143" s="45"/>
      <c r="C143" s="80">
        <f t="shared" ca="1" si="5"/>
        <v>45959</v>
      </c>
      <c r="D143" s="81">
        <f ca="1">IF(Data!I143&lt;&gt;"",DATEDIF(Data!I143,C143,"m"),0)</f>
        <v>16</v>
      </c>
      <c r="E143" s="82">
        <f t="shared" ca="1" si="6"/>
        <v>1.3333333333333333</v>
      </c>
      <c r="I143" s="81" t="str">
        <f>CONCATENATE(Data!M143,"-",Data!L143)</f>
        <v>CD-GE</v>
      </c>
      <c r="N143" s="81">
        <f>IF(Data!P143,DATEDIF(Data!O143,Data!P143,"d"),0)</f>
        <v>18</v>
      </c>
      <c r="O143" s="81">
        <f>IF(Data!M143="CD",1,0)</f>
        <v>1</v>
      </c>
      <c r="P143" s="81">
        <f>IF(Data!M143="CD",0,1)</f>
        <v>0</v>
      </c>
      <c r="Q143" s="81">
        <f>IF(Data!Q143&gt;Data!P143,DATEDIF(Data!P143,Data!Q143,"d"),0)</f>
        <v>6</v>
      </c>
      <c r="R143" s="81">
        <f>IF(Data!R143&gt;Data!Q143,DATEDIF(Data!Q143,Data!R143,"d"),0)</f>
        <v>12</v>
      </c>
      <c r="X143"/>
      <c r="Y143"/>
      <c r="Z143"/>
    </row>
    <row r="144" spans="2:26" ht="16" x14ac:dyDescent="0.2">
      <c r="B144" s="45"/>
      <c r="C144" s="80">
        <f t="shared" ca="1" si="5"/>
        <v>45959</v>
      </c>
      <c r="D144" s="81">
        <f ca="1">IF(Data!I144&lt;&gt;"",DATEDIF(Data!I144,C144,"m"),0)</f>
        <v>45</v>
      </c>
      <c r="E144" s="82">
        <f t="shared" ca="1" si="6"/>
        <v>3.75</v>
      </c>
      <c r="I144" s="81" t="str">
        <f>CONCATENATE(Data!M144,"-",Data!L144)</f>
        <v>CD-CH</v>
      </c>
      <c r="N144" s="81">
        <f>IF(Data!P144,DATEDIF(Data!O144,Data!P144,"d"),0)</f>
        <v>0</v>
      </c>
      <c r="O144" s="81">
        <f>IF(Data!M144="CD",1,0)</f>
        <v>1</v>
      </c>
      <c r="P144" s="81">
        <f>IF(Data!M144="CD",0,1)</f>
        <v>0</v>
      </c>
      <c r="Q144" s="81">
        <f>IF(Data!Q144&gt;Data!P144,DATEDIF(Data!P144,Data!Q144,"d"),0)</f>
        <v>19</v>
      </c>
      <c r="R144" s="81">
        <f>IF(Data!R144&gt;Data!Q144,DATEDIF(Data!Q144,Data!R144,"d"),0)</f>
        <v>0</v>
      </c>
      <c r="X144"/>
      <c r="Y144"/>
      <c r="Z144"/>
    </row>
    <row r="145" spans="2:26" ht="16" x14ac:dyDescent="0.2">
      <c r="B145" s="45"/>
      <c r="C145" s="80">
        <f t="shared" ca="1" si="5"/>
        <v>45959</v>
      </c>
      <c r="D145" s="81">
        <f ca="1">IF(Data!I145&lt;&gt;"",DATEDIF(Data!I145,C145,"m"),0)</f>
        <v>153</v>
      </c>
      <c r="E145" s="82">
        <f t="shared" ca="1" si="6"/>
        <v>12.75</v>
      </c>
      <c r="I145" s="81" t="str">
        <f>CONCATENATE(Data!M145,"-",Data!L145)</f>
        <v>CD-VA</v>
      </c>
      <c r="N145" s="81">
        <f>IF(Data!P145,DATEDIF(Data!O145,Data!P145,"d"),0)</f>
        <v>11</v>
      </c>
      <c r="O145" s="81">
        <f>IF(Data!M145="CD",1,0)</f>
        <v>1</v>
      </c>
      <c r="P145" s="81">
        <f>IF(Data!M145="CD",0,1)</f>
        <v>0</v>
      </c>
      <c r="Q145" s="81">
        <f>IF(Data!Q145&gt;Data!P145,DATEDIF(Data!P145,Data!Q145,"d"),0)</f>
        <v>41</v>
      </c>
      <c r="R145" s="81">
        <f>IF(Data!R145&gt;Data!Q145,DATEDIF(Data!Q145,Data!R145,"d"),0)</f>
        <v>49</v>
      </c>
      <c r="X145"/>
      <c r="Y145"/>
      <c r="Z145"/>
    </row>
    <row r="146" spans="2:26" ht="16" x14ac:dyDescent="0.2">
      <c r="B146" s="45"/>
      <c r="C146" s="80">
        <f t="shared" ca="1" si="5"/>
        <v>45959</v>
      </c>
      <c r="D146" s="81">
        <f ca="1">IF(Data!I146&lt;&gt;"",DATEDIF(Data!I146,C146,"m"),0)</f>
        <v>7</v>
      </c>
      <c r="E146" s="82">
        <f t="shared" ca="1" si="6"/>
        <v>0.58333333333333337</v>
      </c>
      <c r="I146" s="81" t="str">
        <f>CONCATENATE(Data!M146,"-",Data!L146)</f>
        <v>CI-GE</v>
      </c>
      <c r="N146" s="81">
        <f>IF(Data!P146,DATEDIF(Data!O146,Data!P146,"d"),0)</f>
        <v>33</v>
      </c>
      <c r="O146" s="81">
        <f>IF(Data!M146="CD",1,0)</f>
        <v>0</v>
      </c>
      <c r="P146" s="81">
        <f>IF(Data!M146="CD",0,1)</f>
        <v>1</v>
      </c>
      <c r="Q146" s="81">
        <f>IF(Data!Q146&gt;Data!P146,DATEDIF(Data!P146,Data!Q146,"d"),0)</f>
        <v>8</v>
      </c>
      <c r="R146" s="81">
        <f>IF(Data!R146&gt;Data!Q146,DATEDIF(Data!Q146,Data!R146,"d"),0)</f>
        <v>12</v>
      </c>
      <c r="X146"/>
      <c r="Y146"/>
      <c r="Z146"/>
    </row>
    <row r="147" spans="2:26" ht="16" x14ac:dyDescent="0.2">
      <c r="B147" s="45"/>
      <c r="C147" s="80">
        <f t="shared" ca="1" si="5"/>
        <v>45959</v>
      </c>
      <c r="D147" s="81">
        <f ca="1">IF(Data!I147&lt;&gt;"",DATEDIF(Data!I147,C147,"m"),0)</f>
        <v>18</v>
      </c>
      <c r="E147" s="82">
        <f t="shared" ca="1" si="6"/>
        <v>1.5</v>
      </c>
      <c r="I147" s="81" t="str">
        <f>CONCATENATE(Data!M147,"-",Data!L147)</f>
        <v>CD-GE</v>
      </c>
      <c r="N147" s="81">
        <f>IF(Data!P147,DATEDIF(Data!O147,Data!P147,"d"),0)</f>
        <v>4</v>
      </c>
      <c r="O147" s="81">
        <f>IF(Data!M147="CD",1,0)</f>
        <v>1</v>
      </c>
      <c r="P147" s="81">
        <f>IF(Data!M147="CD",0,1)</f>
        <v>0</v>
      </c>
      <c r="Q147" s="81">
        <f>IF(Data!Q147&gt;Data!P147,DATEDIF(Data!P147,Data!Q147,"d"),0)</f>
        <v>22</v>
      </c>
      <c r="R147" s="81">
        <f>IF(Data!R147&gt;Data!Q147,DATEDIF(Data!Q147,Data!R147,"d"),0)</f>
        <v>0</v>
      </c>
      <c r="X147"/>
      <c r="Y147"/>
      <c r="Z147"/>
    </row>
    <row r="148" spans="2:26" ht="16" x14ac:dyDescent="0.2">
      <c r="B148" s="45"/>
      <c r="C148" s="80">
        <f t="shared" ca="1" si="5"/>
        <v>45959</v>
      </c>
      <c r="D148" s="81">
        <f ca="1">IF(Data!I148&lt;&gt;"",DATEDIF(Data!I148,C148,"m"),0)</f>
        <v>18</v>
      </c>
      <c r="E148" s="82">
        <f t="shared" ca="1" si="6"/>
        <v>1.5</v>
      </c>
      <c r="I148" s="81" t="str">
        <f>CONCATENATE(Data!M148,"-",Data!L148)</f>
        <v>CD-GE</v>
      </c>
      <c r="N148" s="81">
        <f>IF(Data!P148,DATEDIF(Data!O148,Data!P148,"d"),0)</f>
        <v>5</v>
      </c>
      <c r="O148" s="81">
        <f>IF(Data!M148="CD",1,0)</f>
        <v>1</v>
      </c>
      <c r="P148" s="81">
        <f>IF(Data!M148="CD",0,1)</f>
        <v>0</v>
      </c>
      <c r="Q148" s="81">
        <f>IF(Data!Q148&gt;Data!P148,DATEDIF(Data!P148,Data!Q148,"d"),0)</f>
        <v>8</v>
      </c>
      <c r="R148" s="81">
        <f>IF(Data!R148&gt;Data!Q148,DATEDIF(Data!Q148,Data!R148,"d"),0)</f>
        <v>0</v>
      </c>
      <c r="X148"/>
      <c r="Y148"/>
      <c r="Z148"/>
    </row>
    <row r="149" spans="2:26" ht="16" x14ac:dyDescent="0.2">
      <c r="B149" s="45"/>
      <c r="C149" s="80">
        <f t="shared" ca="1" si="5"/>
        <v>45959</v>
      </c>
      <c r="D149" s="81">
        <f ca="1">IF(Data!I149&lt;&gt;"",DATEDIF(Data!I149,C149,"m"),0)</f>
        <v>23</v>
      </c>
      <c r="E149" s="82">
        <f t="shared" ca="1" si="6"/>
        <v>1.9166666666666667</v>
      </c>
      <c r="I149" s="81" t="str">
        <f>CONCATENATE(Data!M149,"-",Data!L149)</f>
        <v>CI-BA</v>
      </c>
      <c r="N149" s="81">
        <f>IF(Data!P149,DATEDIF(Data!O149,Data!P149,"d"),0)</f>
        <v>12</v>
      </c>
      <c r="O149" s="81">
        <f>IF(Data!M149="CD",1,0)</f>
        <v>0</v>
      </c>
      <c r="P149" s="81">
        <f>IF(Data!M149="CD",0,1)</f>
        <v>1</v>
      </c>
      <c r="Q149" s="81">
        <f>IF(Data!Q149&gt;Data!P149,DATEDIF(Data!P149,Data!Q149,"d"),0)</f>
        <v>0</v>
      </c>
      <c r="R149" s="81">
        <f>IF(Data!R149&gt;Data!Q149,DATEDIF(Data!Q149,Data!R149,"d"),0)</f>
        <v>16</v>
      </c>
      <c r="X149"/>
      <c r="Y149"/>
      <c r="Z149"/>
    </row>
    <row r="150" spans="2:26" ht="16" x14ac:dyDescent="0.2">
      <c r="B150" s="45"/>
      <c r="C150" s="80">
        <f t="shared" ca="1" si="5"/>
        <v>45959</v>
      </c>
      <c r="D150" s="81">
        <f ca="1">IF(Data!I150&lt;&gt;"",DATEDIF(Data!I150,C150,"m"),0)</f>
        <v>19</v>
      </c>
      <c r="E150" s="82">
        <f t="shared" ca="1" si="6"/>
        <v>1.5833333333333333</v>
      </c>
      <c r="I150" s="81" t="str">
        <f>CONCATENATE(Data!M150,"-",Data!L150)</f>
        <v>TR-GE</v>
      </c>
      <c r="N150" s="81">
        <f>IF(Data!P150,DATEDIF(Data!O150,Data!P150,"d"),0)</f>
        <v>1</v>
      </c>
      <c r="O150" s="81">
        <f>IF(Data!M150="CD",1,0)</f>
        <v>0</v>
      </c>
      <c r="P150" s="81">
        <f>IF(Data!M150="CD",0,1)</f>
        <v>1</v>
      </c>
      <c r="Q150" s="81">
        <f>IF(Data!Q150&gt;Data!P150,DATEDIF(Data!P150,Data!Q150,"d"),0)</f>
        <v>8</v>
      </c>
      <c r="R150" s="81">
        <f>IF(Data!R150&gt;Data!Q150,DATEDIF(Data!Q150,Data!R150,"d"),0)</f>
        <v>0</v>
      </c>
      <c r="X150"/>
      <c r="Y150"/>
      <c r="Z150"/>
    </row>
    <row r="151" spans="2:26" ht="16" x14ac:dyDescent="0.2">
      <c r="B151" s="45"/>
      <c r="C151" s="80">
        <f t="shared" ca="1" si="5"/>
        <v>45959</v>
      </c>
      <c r="D151" s="81">
        <f ca="1">IF(Data!I151&lt;&gt;"",DATEDIF(Data!I151,C151,"m"),0)</f>
        <v>139</v>
      </c>
      <c r="E151" s="82">
        <f t="shared" ca="1" si="6"/>
        <v>11.583333333333334</v>
      </c>
      <c r="I151" s="81" t="str">
        <f>CONCATENATE(Data!M151,"-",Data!L151)</f>
        <v>CD-BA</v>
      </c>
      <c r="N151" s="81">
        <f>IF(Data!P151,DATEDIF(Data!O151,Data!P151,"d"),0)</f>
        <v>13</v>
      </c>
      <c r="O151" s="81">
        <f>IF(Data!M151="CD",1,0)</f>
        <v>1</v>
      </c>
      <c r="P151" s="81">
        <f>IF(Data!M151="CD",0,1)</f>
        <v>0</v>
      </c>
      <c r="Q151" s="81">
        <f>IF(Data!Q151&gt;Data!P151,DATEDIF(Data!P151,Data!Q151,"d"),0)</f>
        <v>71</v>
      </c>
      <c r="R151" s="81">
        <f>IF(Data!R151&gt;Data!Q151,DATEDIF(Data!Q151,Data!R151,"d"),0)</f>
        <v>35</v>
      </c>
      <c r="X151"/>
      <c r="Y151"/>
      <c r="Z151"/>
    </row>
    <row r="152" spans="2:26" ht="16" x14ac:dyDescent="0.2">
      <c r="B152" s="45"/>
      <c r="C152" s="80">
        <f t="shared" ca="1" si="5"/>
        <v>45959</v>
      </c>
      <c r="D152" s="81">
        <f ca="1">IF(Data!I152&lt;&gt;"",DATEDIF(Data!I152,C152,"m"),0)</f>
        <v>18</v>
      </c>
      <c r="E152" s="82">
        <f t="shared" ca="1" si="6"/>
        <v>1.5</v>
      </c>
      <c r="I152" s="81" t="str">
        <f>CONCATENATE(Data!M152,"-",Data!L152)</f>
        <v>CI-BA</v>
      </c>
      <c r="N152" s="81">
        <f>IF(Data!P152,DATEDIF(Data!O152,Data!P152,"d"),0)</f>
        <v>13</v>
      </c>
      <c r="O152" s="81">
        <f>IF(Data!M152="CD",1,0)</f>
        <v>0</v>
      </c>
      <c r="P152" s="81">
        <f>IF(Data!M152="CD",0,1)</f>
        <v>1</v>
      </c>
      <c r="Q152" s="81">
        <f>IF(Data!Q152&gt;Data!P152,DATEDIF(Data!P152,Data!Q152,"d"),0)</f>
        <v>0</v>
      </c>
      <c r="R152" s="81">
        <f>IF(Data!R152&gt;Data!Q152,DATEDIF(Data!Q152,Data!R152,"d"),0)</f>
        <v>16</v>
      </c>
      <c r="X152"/>
      <c r="Y152"/>
      <c r="Z152"/>
    </row>
    <row r="153" spans="2:26" ht="16" x14ac:dyDescent="0.2">
      <c r="B153" s="45"/>
      <c r="C153" s="80">
        <f t="shared" ca="1" si="5"/>
        <v>45959</v>
      </c>
      <c r="D153" s="81">
        <f ca="1">IF(Data!I153&lt;&gt;"",DATEDIF(Data!I153,C153,"m"),0)</f>
        <v>16</v>
      </c>
      <c r="E153" s="82">
        <f t="shared" ca="1" si="6"/>
        <v>1.3333333333333333</v>
      </c>
      <c r="I153" s="81" t="str">
        <f>CONCATENATE(Data!M153,"-",Data!L153)</f>
        <v>CD-GE</v>
      </c>
      <c r="N153" s="81">
        <f>IF(Data!P153,DATEDIF(Data!O153,Data!P153,"d"),0)</f>
        <v>0</v>
      </c>
      <c r="O153" s="81">
        <f>IF(Data!M153="CD",1,0)</f>
        <v>1</v>
      </c>
      <c r="P153" s="81">
        <f>IF(Data!M153="CD",0,1)</f>
        <v>0</v>
      </c>
      <c r="Q153" s="81">
        <f>IF(Data!Q153&gt;Data!P153,DATEDIF(Data!P153,Data!Q153,"d"),0)</f>
        <v>27</v>
      </c>
      <c r="R153" s="81">
        <f>IF(Data!R153&gt;Data!Q153,DATEDIF(Data!Q153,Data!R153,"d"),0)</f>
        <v>1</v>
      </c>
      <c r="X153"/>
      <c r="Y153"/>
      <c r="Z153"/>
    </row>
    <row r="154" spans="2:26" ht="16" x14ac:dyDescent="0.2">
      <c r="B154" s="45"/>
      <c r="C154" s="80">
        <f t="shared" ca="1" si="5"/>
        <v>45959</v>
      </c>
      <c r="D154" s="81">
        <f ca="1">IF(Data!I154&lt;&gt;"",DATEDIF(Data!I154,C154,"m"),0)</f>
        <v>1509</v>
      </c>
      <c r="E154" s="82">
        <f t="shared" ca="1" si="6"/>
        <v>125.75</v>
      </c>
      <c r="I154" s="81" t="str">
        <f>CONCATENATE(Data!M154,"-",Data!L154)</f>
        <v>SR-GE</v>
      </c>
      <c r="N154" s="81">
        <f>IF(Data!P154,DATEDIF(Data!O154,Data!P154,"d"),0)</f>
        <v>2</v>
      </c>
      <c r="O154" s="81">
        <f>IF(Data!M154="CD",1,0)</f>
        <v>0</v>
      </c>
      <c r="P154" s="81">
        <f>IF(Data!M154="CD",0,1)</f>
        <v>1</v>
      </c>
      <c r="Q154" s="81">
        <f>IF(Data!Q154&gt;Data!P154,DATEDIF(Data!P154,Data!Q154,"d"),0)</f>
        <v>16</v>
      </c>
      <c r="R154" s="81">
        <f>IF(Data!R154&gt;Data!Q154,DATEDIF(Data!Q154,Data!R154,"d"),0)</f>
        <v>0</v>
      </c>
      <c r="X154"/>
      <c r="Y154"/>
      <c r="Z154"/>
    </row>
    <row r="155" spans="2:26" ht="16" x14ac:dyDescent="0.2">
      <c r="B155" s="45"/>
      <c r="C155" s="80">
        <f t="shared" ca="1" si="5"/>
        <v>45959</v>
      </c>
      <c r="D155" s="81">
        <f ca="1">IF(Data!I155&lt;&gt;"",DATEDIF(Data!I155,C155,"m"),0)</f>
        <v>292</v>
      </c>
      <c r="E155" s="82">
        <f t="shared" ca="1" si="6"/>
        <v>24.333333333333332</v>
      </c>
      <c r="I155" s="81" t="str">
        <f>CONCATENATE(Data!M155,"-",Data!L155)</f>
        <v>CD-VA</v>
      </c>
      <c r="N155" s="81">
        <f>IF(Data!P155,DATEDIF(Data!O155,Data!P155,"d"),0)</f>
        <v>16</v>
      </c>
      <c r="O155" s="81">
        <f>IF(Data!M155="CD",1,0)</f>
        <v>1</v>
      </c>
      <c r="P155" s="81">
        <f>IF(Data!M155="CD",0,1)</f>
        <v>0</v>
      </c>
      <c r="Q155" s="81">
        <f>IF(Data!Q155&gt;Data!P155,DATEDIF(Data!P155,Data!Q155,"d"),0)</f>
        <v>1</v>
      </c>
      <c r="R155" s="81">
        <f>IF(Data!R155&gt;Data!Q155,DATEDIF(Data!Q155,Data!R155,"d"),0)</f>
        <v>0</v>
      </c>
      <c r="X155"/>
      <c r="Y155"/>
      <c r="Z155"/>
    </row>
    <row r="156" spans="2:26" ht="16" x14ac:dyDescent="0.2">
      <c r="B156" s="45"/>
      <c r="C156" s="80">
        <f t="shared" ca="1" si="5"/>
        <v>45959</v>
      </c>
      <c r="D156" s="81">
        <f ca="1">IF(Data!I156&lt;&gt;"",DATEDIF(Data!I156,C156,"m"),0)</f>
        <v>9</v>
      </c>
      <c r="E156" s="82">
        <f t="shared" ca="1" si="6"/>
        <v>0.75</v>
      </c>
      <c r="I156" s="81" t="str">
        <f>CONCATENATE(Data!M156,"-",Data!L156)</f>
        <v>CD-BA</v>
      </c>
      <c r="N156" s="81">
        <f>IF(Data!P156,DATEDIF(Data!O156,Data!P156,"d"),0)</f>
        <v>125</v>
      </c>
      <c r="O156" s="81">
        <f>IF(Data!M156="CD",1,0)</f>
        <v>1</v>
      </c>
      <c r="P156" s="81">
        <f>IF(Data!M156="CD",0,1)</f>
        <v>0</v>
      </c>
      <c r="Q156" s="81">
        <f>IF(Data!Q156&gt;Data!P156,DATEDIF(Data!P156,Data!Q156,"d"),0)</f>
        <v>0</v>
      </c>
      <c r="R156" s="81">
        <f>IF(Data!R156&gt;Data!Q156,DATEDIF(Data!Q156,Data!R156,"d"),0)</f>
        <v>1</v>
      </c>
      <c r="X156"/>
      <c r="Y156"/>
      <c r="Z156"/>
    </row>
    <row r="157" spans="2:26" ht="16" x14ac:dyDescent="0.2">
      <c r="B157" s="45"/>
      <c r="C157" s="80">
        <f t="shared" ca="1" si="5"/>
        <v>45959</v>
      </c>
      <c r="D157" s="81">
        <f>IF(Data!I157&lt;&gt;"",DATEDIF(Data!I157,C157,"m"),0)</f>
        <v>0</v>
      </c>
      <c r="E157" s="82">
        <f t="shared" si="6"/>
        <v>0</v>
      </c>
      <c r="I157" s="81" t="str">
        <f>CONCATENATE(Data!M157,"-",Data!L157)</f>
        <v>CD-GE</v>
      </c>
      <c r="N157" s="81">
        <f>IF(Data!P157,DATEDIF(Data!O157,Data!P157,"d"),0)</f>
        <v>0</v>
      </c>
      <c r="O157" s="81">
        <f>IF(Data!M157="CD",1,0)</f>
        <v>1</v>
      </c>
      <c r="P157" s="81">
        <f>IF(Data!M157="CD",0,1)</f>
        <v>0</v>
      </c>
      <c r="Q157" s="81">
        <f>IF(Data!Q157&gt;Data!P157,DATEDIF(Data!P157,Data!Q157,"d"),0)</f>
        <v>0</v>
      </c>
      <c r="R157" s="81">
        <f>IF(Data!R157&gt;Data!Q157,DATEDIF(Data!Q157,Data!R157,"d"),0)</f>
        <v>0</v>
      </c>
      <c r="X157"/>
      <c r="Y157"/>
      <c r="Z157"/>
    </row>
    <row r="158" spans="2:26" ht="16" x14ac:dyDescent="0.2">
      <c r="B158" s="45"/>
      <c r="C158" s="80">
        <f t="shared" ca="1" si="5"/>
        <v>45959</v>
      </c>
      <c r="D158" s="81">
        <f ca="1">IF(Data!I158&lt;&gt;"",DATEDIF(Data!I158,C158,"m"),0)</f>
        <v>84</v>
      </c>
      <c r="E158" s="82">
        <f t="shared" ca="1" si="6"/>
        <v>7</v>
      </c>
      <c r="I158" s="81" t="str">
        <f>CONCATENATE(Data!M158,"-",Data!L158)</f>
        <v>CI-GE</v>
      </c>
      <c r="N158" s="81">
        <f>IF(Data!P158,DATEDIF(Data!O158,Data!P158,"d"),0)</f>
        <v>2</v>
      </c>
      <c r="O158" s="81">
        <f>IF(Data!M158="CD",1,0)</f>
        <v>0</v>
      </c>
      <c r="P158" s="81">
        <f>IF(Data!M158="CD",0,1)</f>
        <v>1</v>
      </c>
      <c r="Q158" s="81">
        <f>IF(Data!Q158&gt;Data!P158,DATEDIF(Data!P158,Data!Q158,"d"),0)</f>
        <v>5</v>
      </c>
      <c r="R158" s="81">
        <f>IF(Data!R158&gt;Data!Q158,DATEDIF(Data!Q158,Data!R158,"d"),0)</f>
        <v>29</v>
      </c>
      <c r="X158"/>
      <c r="Y158"/>
      <c r="Z158"/>
    </row>
    <row r="159" spans="2:26" ht="16" x14ac:dyDescent="0.2">
      <c r="B159" s="45"/>
      <c r="C159" s="80">
        <f t="shared" ca="1" si="5"/>
        <v>45959</v>
      </c>
      <c r="D159" s="81">
        <f ca="1">IF(Data!I159&lt;&gt;"",DATEDIF(Data!I159,C159,"m"),0)</f>
        <v>32</v>
      </c>
      <c r="E159" s="82">
        <f t="shared" ca="1" si="6"/>
        <v>2.6666666666666665</v>
      </c>
      <c r="I159" s="81" t="str">
        <f>CONCATENATE(Data!M159,"-",Data!L159)</f>
        <v>CD-GE</v>
      </c>
      <c r="N159" s="81">
        <f>IF(Data!P159,DATEDIF(Data!O159,Data!P159,"d"),0)</f>
        <v>5</v>
      </c>
      <c r="O159" s="81">
        <f>IF(Data!M159="CD",1,0)</f>
        <v>1</v>
      </c>
      <c r="P159" s="81">
        <f>IF(Data!M159="CD",0,1)</f>
        <v>0</v>
      </c>
      <c r="Q159" s="81">
        <f>IF(Data!Q159&gt;Data!P159,DATEDIF(Data!P159,Data!Q159,"d"),0)</f>
        <v>0</v>
      </c>
      <c r="R159" s="81">
        <f>IF(Data!R159&gt;Data!Q159,DATEDIF(Data!Q159,Data!R159,"d"),0)</f>
        <v>0</v>
      </c>
      <c r="X159"/>
      <c r="Y159"/>
      <c r="Z159"/>
    </row>
    <row r="160" spans="2:26" ht="16" x14ac:dyDescent="0.2">
      <c r="B160" s="45"/>
      <c r="C160" s="80">
        <f t="shared" ca="1" si="5"/>
        <v>45959</v>
      </c>
      <c r="D160" s="81">
        <f ca="1">IF(Data!I160&lt;&gt;"",DATEDIF(Data!I160,C160,"m"),0)</f>
        <v>16</v>
      </c>
      <c r="E160" s="82">
        <f t="shared" ca="1" si="6"/>
        <v>1.3333333333333333</v>
      </c>
      <c r="I160" s="81" t="str">
        <f>CONCATENATE(Data!M160,"-",Data!L160)</f>
        <v>CD-BA</v>
      </c>
      <c r="N160" s="81">
        <f>IF(Data!P160,DATEDIF(Data!O160,Data!P160,"d"),0)</f>
        <v>3</v>
      </c>
      <c r="O160" s="81">
        <f>IF(Data!M160="CD",1,0)</f>
        <v>1</v>
      </c>
      <c r="P160" s="81">
        <f>IF(Data!M160="CD",0,1)</f>
        <v>0</v>
      </c>
      <c r="Q160" s="81">
        <f>IF(Data!Q160&gt;Data!P160,DATEDIF(Data!P160,Data!Q160,"d"),0)</f>
        <v>23</v>
      </c>
      <c r="R160" s="81">
        <f>IF(Data!R160&gt;Data!Q160,DATEDIF(Data!Q160,Data!R160,"d"),0)</f>
        <v>0</v>
      </c>
      <c r="X160"/>
      <c r="Y160"/>
      <c r="Z160"/>
    </row>
    <row r="161" spans="2:26" ht="16" x14ac:dyDescent="0.2">
      <c r="B161" s="45"/>
      <c r="C161" s="80">
        <f t="shared" ca="1" si="5"/>
        <v>45959</v>
      </c>
      <c r="D161" s="81">
        <f ca="1">IF(Data!I161&lt;&gt;"",DATEDIF(Data!I161,C161,"m"),0)</f>
        <v>17</v>
      </c>
      <c r="E161" s="82">
        <f t="shared" ca="1" si="6"/>
        <v>1.4166666666666667</v>
      </c>
      <c r="I161" s="81" t="str">
        <f>CONCATENATE(Data!M161,"-",Data!L161)</f>
        <v>CD-BA</v>
      </c>
      <c r="N161" s="81">
        <f>IF(Data!P161,DATEDIF(Data!O161,Data!P161,"d"),0)</f>
        <v>3</v>
      </c>
      <c r="O161" s="81">
        <f>IF(Data!M161="CD",1,0)</f>
        <v>1</v>
      </c>
      <c r="P161" s="81">
        <f>IF(Data!M161="CD",0,1)</f>
        <v>0</v>
      </c>
      <c r="Q161" s="81">
        <f>IF(Data!Q161&gt;Data!P161,DATEDIF(Data!P161,Data!Q161,"d"),0)</f>
        <v>15</v>
      </c>
      <c r="R161" s="81">
        <f>IF(Data!R161&gt;Data!Q161,DATEDIF(Data!Q161,Data!R161,"d"),0)</f>
        <v>0</v>
      </c>
      <c r="X161"/>
      <c r="Y161"/>
      <c r="Z161"/>
    </row>
    <row r="162" spans="2:26" ht="16" x14ac:dyDescent="0.2">
      <c r="B162" s="45"/>
      <c r="C162" s="80">
        <f t="shared" ca="1" si="5"/>
        <v>45959</v>
      </c>
      <c r="D162" s="81">
        <f ca="1">IF(Data!I162&lt;&gt;"",DATEDIF(Data!I162,C162,"m"),0)</f>
        <v>24</v>
      </c>
      <c r="E162" s="82">
        <f t="shared" ca="1" si="6"/>
        <v>2</v>
      </c>
      <c r="I162" s="81" t="str">
        <f>CONCATENATE(Data!M162,"-",Data!L162)</f>
        <v>CD-GE</v>
      </c>
      <c r="N162" s="81">
        <f>IF(Data!P162,DATEDIF(Data!O162,Data!P162,"d"),0)</f>
        <v>6</v>
      </c>
      <c r="O162" s="81">
        <f>IF(Data!M162="CD",1,0)</f>
        <v>1</v>
      </c>
      <c r="P162" s="81">
        <f>IF(Data!M162="CD",0,1)</f>
        <v>0</v>
      </c>
      <c r="Q162" s="81">
        <f>IF(Data!Q162&gt;Data!P162,DATEDIF(Data!P162,Data!Q162,"d"),0)</f>
        <v>37</v>
      </c>
      <c r="R162" s="81">
        <f>IF(Data!R162&gt;Data!Q162,DATEDIF(Data!Q162,Data!R162,"d"),0)</f>
        <v>0</v>
      </c>
      <c r="X162"/>
      <c r="Y162"/>
      <c r="Z162"/>
    </row>
    <row r="163" spans="2:26" ht="16" x14ac:dyDescent="0.2">
      <c r="B163" s="45"/>
      <c r="C163" s="80">
        <f t="shared" ca="1" si="5"/>
        <v>45959</v>
      </c>
      <c r="D163" s="81">
        <f ca="1">IF(Data!I163&lt;&gt;"",DATEDIF(Data!I163,C163,"m"),0)</f>
        <v>196</v>
      </c>
      <c r="E163" s="82">
        <f t="shared" ca="1" si="6"/>
        <v>16.333333333333332</v>
      </c>
      <c r="I163" s="81" t="str">
        <f>CONCATENATE(Data!M163,"-",Data!L163)</f>
        <v>CD-GE</v>
      </c>
      <c r="N163" s="81">
        <f>IF(Data!P163,DATEDIF(Data!O163,Data!P163,"d"),0)</f>
        <v>6</v>
      </c>
      <c r="O163" s="81">
        <f>IF(Data!M163="CD",1,0)</f>
        <v>1</v>
      </c>
      <c r="P163" s="81">
        <f>IF(Data!M163="CD",0,1)</f>
        <v>0</v>
      </c>
      <c r="Q163" s="81">
        <f>IF(Data!Q163&gt;Data!P163,DATEDIF(Data!P163,Data!Q163,"d"),0)</f>
        <v>0</v>
      </c>
      <c r="R163" s="81">
        <f>IF(Data!R163&gt;Data!Q163,DATEDIF(Data!Q163,Data!R163,"d"),0)</f>
        <v>0</v>
      </c>
      <c r="X163"/>
      <c r="Y163"/>
      <c r="Z163"/>
    </row>
    <row r="164" spans="2:26" ht="16" x14ac:dyDescent="0.2">
      <c r="B164" s="45"/>
      <c r="C164" s="80">
        <f t="shared" ca="1" si="5"/>
        <v>45959</v>
      </c>
      <c r="D164" s="81">
        <f ca="1">IF(Data!I164&lt;&gt;"",DATEDIF(Data!I164,C164,"m"),0)</f>
        <v>129</v>
      </c>
      <c r="E164" s="82">
        <f t="shared" ca="1" si="6"/>
        <v>10.75</v>
      </c>
      <c r="I164" s="81" t="str">
        <f>CONCATENATE(Data!M164,"-",Data!L164)</f>
        <v>CD-GE</v>
      </c>
      <c r="N164" s="81">
        <f>IF(Data!P164,DATEDIF(Data!O164,Data!P164,"d"),0)</f>
        <v>6</v>
      </c>
      <c r="O164" s="81">
        <f>IF(Data!M164="CD",1,0)</f>
        <v>1</v>
      </c>
      <c r="P164" s="81">
        <f>IF(Data!M164="CD",0,1)</f>
        <v>0</v>
      </c>
      <c r="Q164" s="81">
        <f>IF(Data!Q164&gt;Data!P164,DATEDIF(Data!P164,Data!Q164,"d"),0)</f>
        <v>19</v>
      </c>
      <c r="R164" s="81">
        <f>IF(Data!R164&gt;Data!Q164,DATEDIF(Data!Q164,Data!R164,"d"),0)</f>
        <v>0</v>
      </c>
      <c r="X164"/>
      <c r="Y164"/>
      <c r="Z164"/>
    </row>
    <row r="165" spans="2:26" ht="16" x14ac:dyDescent="0.2">
      <c r="B165" s="45"/>
      <c r="C165" s="80">
        <f t="shared" ca="1" si="5"/>
        <v>45959</v>
      </c>
      <c r="D165" s="81">
        <f ca="1">IF(Data!I165&lt;&gt;"",DATEDIF(Data!I165,C165,"m"),0)</f>
        <v>1509</v>
      </c>
      <c r="E165" s="82">
        <f t="shared" ca="1" si="6"/>
        <v>125.75</v>
      </c>
      <c r="I165" s="81" t="str">
        <f>CONCATENATE(Data!M165,"-",Data!L165)</f>
        <v>SR-VA</v>
      </c>
      <c r="N165" s="81">
        <f>IF(Data!P165,DATEDIF(Data!O165,Data!P165,"d"),0)</f>
        <v>2</v>
      </c>
      <c r="O165" s="81">
        <f>IF(Data!M165="CD",1,0)</f>
        <v>0</v>
      </c>
      <c r="P165" s="81">
        <f>IF(Data!M165="CD",0,1)</f>
        <v>1</v>
      </c>
      <c r="Q165" s="81">
        <f>IF(Data!Q165&gt;Data!P165,DATEDIF(Data!P165,Data!Q165,"d"),0)</f>
        <v>10</v>
      </c>
      <c r="R165" s="81">
        <f>IF(Data!R165&gt;Data!Q165,DATEDIF(Data!Q165,Data!R165,"d"),0)</f>
        <v>22</v>
      </c>
      <c r="X165"/>
      <c r="Y165"/>
      <c r="Z165"/>
    </row>
    <row r="166" spans="2:26" ht="16" x14ac:dyDescent="0.2">
      <c r="B166" s="45"/>
      <c r="C166" s="80">
        <f t="shared" ca="1" si="5"/>
        <v>45959</v>
      </c>
      <c r="D166" s="81">
        <f ca="1">IF(Data!I166&lt;&gt;"",DATEDIF(Data!I166,C166,"m"),0)</f>
        <v>196</v>
      </c>
      <c r="E166" s="82">
        <f t="shared" ca="1" si="6"/>
        <v>16.333333333333332</v>
      </c>
      <c r="I166" s="81" t="str">
        <f>CONCATENATE(Data!M166,"-",Data!L166)</f>
        <v>CD-GE</v>
      </c>
      <c r="N166" s="81">
        <f>IF(Data!P166,DATEDIF(Data!O166,Data!P166,"d"),0)</f>
        <v>7</v>
      </c>
      <c r="O166" s="81">
        <f>IF(Data!M166="CD",1,0)</f>
        <v>1</v>
      </c>
      <c r="P166" s="81">
        <f>IF(Data!M166="CD",0,1)</f>
        <v>0</v>
      </c>
      <c r="Q166" s="81">
        <f>IF(Data!Q166&gt;Data!P166,DATEDIF(Data!P166,Data!Q166,"d"),0)</f>
        <v>12</v>
      </c>
      <c r="R166" s="81">
        <f>IF(Data!R166&gt;Data!Q166,DATEDIF(Data!Q166,Data!R166,"d"),0)</f>
        <v>0</v>
      </c>
      <c r="X166"/>
      <c r="Y166"/>
      <c r="Z166"/>
    </row>
    <row r="167" spans="2:26" ht="16" x14ac:dyDescent="0.2">
      <c r="B167" s="45"/>
      <c r="C167" s="80">
        <f t="shared" ca="1" si="5"/>
        <v>45959</v>
      </c>
      <c r="D167" s="81">
        <f ca="1">IF(Data!I167&lt;&gt;"",DATEDIF(Data!I167,C167,"m"),0)</f>
        <v>36</v>
      </c>
      <c r="E167" s="82">
        <f t="shared" ca="1" si="6"/>
        <v>3</v>
      </c>
      <c r="I167" s="81" t="str">
        <f>CONCATENATE(Data!M167,"-",Data!L167)</f>
        <v>CI-VA</v>
      </c>
      <c r="N167" s="81">
        <f>IF(Data!P167,DATEDIF(Data!O167,Data!P167,"d"),0)</f>
        <v>14</v>
      </c>
      <c r="O167" s="81">
        <f>IF(Data!M167="CD",1,0)</f>
        <v>0</v>
      </c>
      <c r="P167" s="81">
        <f>IF(Data!M167="CD",0,1)</f>
        <v>1</v>
      </c>
      <c r="Q167" s="81">
        <f>IF(Data!Q167&gt;Data!P167,DATEDIF(Data!P167,Data!Q167,"d"),0)</f>
        <v>18</v>
      </c>
      <c r="R167" s="81">
        <f>IF(Data!R167&gt;Data!Q167,DATEDIF(Data!Q167,Data!R167,"d"),0)</f>
        <v>0</v>
      </c>
      <c r="X167"/>
      <c r="Y167"/>
      <c r="Z167"/>
    </row>
    <row r="168" spans="2:26" ht="16" x14ac:dyDescent="0.2">
      <c r="B168" s="45"/>
      <c r="C168" s="80">
        <f t="shared" ca="1" si="5"/>
        <v>45959</v>
      </c>
      <c r="D168" s="81">
        <f ca="1">IF(Data!I168&lt;&gt;"",DATEDIF(Data!I168,C168,"m"),0)</f>
        <v>24</v>
      </c>
      <c r="E168" s="82">
        <f t="shared" ca="1" si="6"/>
        <v>2</v>
      </c>
      <c r="I168" s="81" t="str">
        <f>CONCATENATE(Data!M168,"-",Data!L168)</f>
        <v>CD-CH</v>
      </c>
      <c r="N168" s="81">
        <f>IF(Data!P168,DATEDIF(Data!O168,Data!P168,"d"),0)</f>
        <v>0</v>
      </c>
      <c r="O168" s="81">
        <f>IF(Data!M168="CD",1,0)</f>
        <v>1</v>
      </c>
      <c r="P168" s="81">
        <f>IF(Data!M168="CD",0,1)</f>
        <v>0</v>
      </c>
      <c r="Q168" s="81">
        <f>IF(Data!Q168&gt;Data!P168,DATEDIF(Data!P168,Data!Q168,"d"),0)</f>
        <v>13</v>
      </c>
      <c r="R168" s="81">
        <f>IF(Data!R168&gt;Data!Q168,DATEDIF(Data!Q168,Data!R168,"d"),0)</f>
        <v>0</v>
      </c>
      <c r="X168"/>
      <c r="Y168"/>
      <c r="Z168"/>
    </row>
    <row r="169" spans="2:26" ht="16" x14ac:dyDescent="0.2">
      <c r="B169" s="45"/>
      <c r="C169" s="80">
        <f t="shared" ca="1" si="5"/>
        <v>45959</v>
      </c>
      <c r="D169" s="81">
        <f ca="1">IF(Data!I169&lt;&gt;"",DATEDIF(Data!I169,C169,"m"),0)</f>
        <v>67</v>
      </c>
      <c r="E169" s="82">
        <f t="shared" ca="1" si="6"/>
        <v>5.583333333333333</v>
      </c>
      <c r="I169" s="81" t="str">
        <f>CONCATENATE(Data!M169,"-",Data!L169)</f>
        <v>ML-BA</v>
      </c>
      <c r="N169" s="81">
        <f>IF(Data!P169,DATEDIF(Data!O169,Data!P169,"d"),0)</f>
        <v>0</v>
      </c>
      <c r="O169" s="81">
        <f>IF(Data!M169="CD",1,0)</f>
        <v>0</v>
      </c>
      <c r="P169" s="81">
        <f>IF(Data!M169="CD",0,1)</f>
        <v>1</v>
      </c>
      <c r="Q169" s="81">
        <f>IF(Data!Q169&gt;Data!P169,DATEDIF(Data!P169,Data!Q169,"d"),0)</f>
        <v>27</v>
      </c>
      <c r="R169" s="81">
        <f>IF(Data!R169&gt;Data!Q169,DATEDIF(Data!Q169,Data!R169,"d"),0)</f>
        <v>0</v>
      </c>
      <c r="X169"/>
      <c r="Y169"/>
      <c r="Z169"/>
    </row>
    <row r="170" spans="2:26" ht="16" x14ac:dyDescent="0.2">
      <c r="B170" s="45"/>
      <c r="C170" s="80">
        <f t="shared" ca="1" si="5"/>
        <v>45959</v>
      </c>
      <c r="D170" s="81">
        <f ca="1">IF(Data!I170&lt;&gt;"",DATEDIF(Data!I170,C170,"m"),0)</f>
        <v>23</v>
      </c>
      <c r="E170" s="82">
        <f t="shared" ca="1" si="6"/>
        <v>1.9166666666666667</v>
      </c>
      <c r="I170" s="81" t="str">
        <f>CONCATENATE(Data!M170,"-",Data!L170)</f>
        <v>CI-BA</v>
      </c>
      <c r="N170" s="81">
        <f>IF(Data!P170,DATEDIF(Data!O170,Data!P170,"d"),0)</f>
        <v>1</v>
      </c>
      <c r="O170" s="81">
        <f>IF(Data!M170="CD",1,0)</f>
        <v>0</v>
      </c>
      <c r="P170" s="81">
        <f>IF(Data!M170="CD",0,1)</f>
        <v>1</v>
      </c>
      <c r="Q170" s="81">
        <f>IF(Data!Q170&gt;Data!P170,DATEDIF(Data!P170,Data!Q170,"d"),0)</f>
        <v>46</v>
      </c>
      <c r="R170" s="81">
        <f>IF(Data!R170&gt;Data!Q170,DATEDIF(Data!Q170,Data!R170,"d"),0)</f>
        <v>0</v>
      </c>
      <c r="X170"/>
      <c r="Y170"/>
      <c r="Z170"/>
    </row>
    <row r="171" spans="2:26" ht="16" x14ac:dyDescent="0.2">
      <c r="B171" s="45"/>
      <c r="C171" s="80">
        <f t="shared" ca="1" si="5"/>
        <v>45959</v>
      </c>
      <c r="D171" s="81">
        <f ca="1">IF(Data!I171&lt;&gt;"",DATEDIF(Data!I171,C171,"m"),0)</f>
        <v>27</v>
      </c>
      <c r="E171" s="82">
        <f t="shared" ca="1" si="6"/>
        <v>2.25</v>
      </c>
      <c r="I171" s="81" t="str">
        <f>CONCATENATE(Data!M171,"-",Data!L171)</f>
        <v>CD-VA</v>
      </c>
      <c r="N171" s="81">
        <f>IF(Data!P171,DATEDIF(Data!O171,Data!P171,"d"),0)</f>
        <v>15</v>
      </c>
      <c r="O171" s="81">
        <f>IF(Data!M171="CD",1,0)</f>
        <v>1</v>
      </c>
      <c r="P171" s="81">
        <f>IF(Data!M171="CD",0,1)</f>
        <v>0</v>
      </c>
      <c r="Q171" s="81">
        <f>IF(Data!Q171&gt;Data!P171,DATEDIF(Data!P171,Data!Q171,"d"),0)</f>
        <v>19</v>
      </c>
      <c r="R171" s="81">
        <f>IF(Data!R171&gt;Data!Q171,DATEDIF(Data!Q171,Data!R171,"d"),0)</f>
        <v>17</v>
      </c>
      <c r="X171"/>
      <c r="Y171"/>
      <c r="Z171"/>
    </row>
    <row r="172" spans="2:26" ht="16" x14ac:dyDescent="0.2">
      <c r="B172" s="45"/>
      <c r="C172" s="80">
        <f t="shared" ca="1" si="5"/>
        <v>45959</v>
      </c>
      <c r="D172" s="81">
        <f ca="1">IF(Data!I172&lt;&gt;"",DATEDIF(Data!I172,C172,"m"),0)</f>
        <v>51</v>
      </c>
      <c r="E172" s="82">
        <f t="shared" ca="1" si="6"/>
        <v>4.25</v>
      </c>
      <c r="I172" s="81" t="str">
        <f>CONCATENATE(Data!M172,"-",Data!L172)</f>
        <v>CD-BA</v>
      </c>
      <c r="N172" s="81">
        <f>IF(Data!P172,DATEDIF(Data!O172,Data!P172,"d"),0)</f>
        <v>3</v>
      </c>
      <c r="O172" s="81">
        <f>IF(Data!M172="CD",1,0)</f>
        <v>1</v>
      </c>
      <c r="P172" s="81">
        <f>IF(Data!M172="CD",0,1)</f>
        <v>0</v>
      </c>
      <c r="Q172" s="81">
        <f>IF(Data!Q172&gt;Data!P172,DATEDIF(Data!P172,Data!Q172,"d"),0)</f>
        <v>24</v>
      </c>
      <c r="R172" s="81">
        <f>IF(Data!R172&gt;Data!Q172,DATEDIF(Data!Q172,Data!R172,"d"),0)</f>
        <v>0</v>
      </c>
      <c r="X172"/>
      <c r="Y172"/>
      <c r="Z172"/>
    </row>
    <row r="173" spans="2:26" ht="16" x14ac:dyDescent="0.2">
      <c r="B173" s="45"/>
      <c r="C173" s="80">
        <f t="shared" ca="1" si="5"/>
        <v>45959</v>
      </c>
      <c r="D173" s="81">
        <f ca="1">IF(Data!I173&lt;&gt;"",DATEDIF(Data!I173,C173,"m"),0)</f>
        <v>51</v>
      </c>
      <c r="E173" s="82">
        <f t="shared" ca="1" si="6"/>
        <v>4.25</v>
      </c>
      <c r="I173" s="81" t="str">
        <f>CONCATENATE(Data!M173,"-",Data!L173)</f>
        <v>CD-GE</v>
      </c>
      <c r="N173" s="81">
        <f>IF(Data!P173,DATEDIF(Data!O173,Data!P173,"d"),0)</f>
        <v>1</v>
      </c>
      <c r="O173" s="81">
        <f>IF(Data!M173="CD",1,0)</f>
        <v>1</v>
      </c>
      <c r="P173" s="81">
        <f>IF(Data!M173="CD",0,1)</f>
        <v>0</v>
      </c>
      <c r="Q173" s="81">
        <f>IF(Data!Q173&gt;Data!P173,DATEDIF(Data!P173,Data!Q173,"d"),0)</f>
        <v>9</v>
      </c>
      <c r="R173" s="81">
        <f>IF(Data!R173&gt;Data!Q173,DATEDIF(Data!Q173,Data!R173,"d"),0)</f>
        <v>0</v>
      </c>
      <c r="X173"/>
      <c r="Y173"/>
      <c r="Z173"/>
    </row>
    <row r="174" spans="2:26" ht="16" x14ac:dyDescent="0.2">
      <c r="B174" s="45"/>
      <c r="C174" s="80">
        <f t="shared" ca="1" si="5"/>
        <v>45959</v>
      </c>
      <c r="D174" s="81">
        <f ca="1">IF(Data!I174&lt;&gt;"",DATEDIF(Data!I174,C174,"m"),0)</f>
        <v>120</v>
      </c>
      <c r="E174" s="82">
        <f t="shared" ca="1" si="6"/>
        <v>10</v>
      </c>
      <c r="I174" s="81" t="str">
        <f>CONCATENATE(Data!M174,"-",Data!L174)</f>
        <v>CD-CH</v>
      </c>
      <c r="N174" s="81">
        <f>IF(Data!P174,DATEDIF(Data!O174,Data!P174,"d"),0)</f>
        <v>0</v>
      </c>
      <c r="O174" s="81">
        <f>IF(Data!M174="CD",1,0)</f>
        <v>1</v>
      </c>
      <c r="P174" s="81">
        <f>IF(Data!M174="CD",0,1)</f>
        <v>0</v>
      </c>
      <c r="Q174" s="81">
        <f>IF(Data!Q174&gt;Data!P174,DATEDIF(Data!P174,Data!Q174,"d"),0)</f>
        <v>15</v>
      </c>
      <c r="R174" s="81">
        <f>IF(Data!R174&gt;Data!Q174,DATEDIF(Data!Q174,Data!R174,"d"),0)</f>
        <v>0</v>
      </c>
      <c r="X174"/>
      <c r="Y174"/>
      <c r="Z174"/>
    </row>
    <row r="175" spans="2:26" ht="16" x14ac:dyDescent="0.2">
      <c r="B175" s="45"/>
      <c r="C175" s="80">
        <f t="shared" ca="1" si="5"/>
        <v>45959</v>
      </c>
      <c r="D175" s="81">
        <f ca="1">IF(Data!I175&lt;&gt;"",DATEDIF(Data!I175,C175,"m"),0)</f>
        <v>156</v>
      </c>
      <c r="E175" s="82">
        <f t="shared" ca="1" si="6"/>
        <v>13</v>
      </c>
      <c r="I175" s="81" t="str">
        <f>CONCATENATE(Data!M175,"-",Data!L175)</f>
        <v>CD-GE</v>
      </c>
      <c r="N175" s="81">
        <f>IF(Data!P175,DATEDIF(Data!O175,Data!P175,"d"),0)</f>
        <v>2</v>
      </c>
      <c r="O175" s="81">
        <f>IF(Data!M175="CD",1,0)</f>
        <v>1</v>
      </c>
      <c r="P175" s="81">
        <f>IF(Data!M175="CD",0,1)</f>
        <v>0</v>
      </c>
      <c r="Q175" s="81">
        <f>IF(Data!Q175&gt;Data!P175,DATEDIF(Data!P175,Data!Q175,"d"),0)</f>
        <v>79</v>
      </c>
      <c r="R175" s="81">
        <f>IF(Data!R175&gt;Data!Q175,DATEDIF(Data!Q175,Data!R175,"d"),0)</f>
        <v>25</v>
      </c>
      <c r="X175"/>
      <c r="Y175"/>
      <c r="Z175"/>
    </row>
    <row r="176" spans="2:26" ht="16" x14ac:dyDescent="0.2">
      <c r="B176" s="45"/>
      <c r="C176" s="80">
        <f t="shared" ca="1" si="5"/>
        <v>45959</v>
      </c>
      <c r="D176" s="81">
        <f ca="1">IF(Data!I176&lt;&gt;"",DATEDIF(Data!I176,C176,"m"),0)</f>
        <v>196</v>
      </c>
      <c r="E176" s="82">
        <f t="shared" ca="1" si="6"/>
        <v>16.333333333333332</v>
      </c>
      <c r="I176" s="81" t="str">
        <f>CONCATENATE(Data!M176,"-",Data!L176)</f>
        <v>CD-GE</v>
      </c>
      <c r="N176" s="81">
        <f>IF(Data!P176,DATEDIF(Data!O176,Data!P176,"d"),0)</f>
        <v>1</v>
      </c>
      <c r="O176" s="81">
        <f>IF(Data!M176="CD",1,0)</f>
        <v>1</v>
      </c>
      <c r="P176" s="81">
        <f>IF(Data!M176="CD",0,1)</f>
        <v>0</v>
      </c>
      <c r="Q176" s="81">
        <f>IF(Data!Q176&gt;Data!P176,DATEDIF(Data!P176,Data!Q176,"d"),0)</f>
        <v>0</v>
      </c>
      <c r="R176" s="81">
        <f>IF(Data!R176&gt;Data!Q176,DATEDIF(Data!Q176,Data!R176,"d"),0)</f>
        <v>13</v>
      </c>
      <c r="X176"/>
      <c r="Y176"/>
      <c r="Z176"/>
    </row>
    <row r="177" spans="2:26" ht="16" x14ac:dyDescent="0.2">
      <c r="B177" s="45"/>
      <c r="C177" s="80">
        <f t="shared" ca="1" si="5"/>
        <v>45959</v>
      </c>
      <c r="D177" s="81">
        <f ca="1">IF(Data!I177&lt;&gt;"",DATEDIF(Data!I177,C177,"m"),0)</f>
        <v>64</v>
      </c>
      <c r="E177" s="82">
        <f t="shared" ca="1" si="6"/>
        <v>5.333333333333333</v>
      </c>
      <c r="I177" s="81" t="str">
        <f>CONCATENATE(Data!M177,"-",Data!L177)</f>
        <v>CI-GE</v>
      </c>
      <c r="N177" s="81">
        <f>IF(Data!P177,DATEDIF(Data!O177,Data!P177,"d"),0)</f>
        <v>26</v>
      </c>
      <c r="O177" s="81">
        <f>IF(Data!M177="CD",1,0)</f>
        <v>0</v>
      </c>
      <c r="P177" s="81">
        <f>IF(Data!M177="CD",0,1)</f>
        <v>1</v>
      </c>
      <c r="Q177" s="81">
        <f>IF(Data!Q177&gt;Data!P177,DATEDIF(Data!P177,Data!Q177,"d"),0)</f>
        <v>15</v>
      </c>
      <c r="R177" s="81">
        <f>IF(Data!R177&gt;Data!Q177,DATEDIF(Data!Q177,Data!R177,"d"),0)</f>
        <v>3</v>
      </c>
      <c r="X177"/>
      <c r="Y177"/>
      <c r="Z177"/>
    </row>
    <row r="178" spans="2:26" ht="16" x14ac:dyDescent="0.2">
      <c r="B178" s="45"/>
      <c r="C178" s="80">
        <f t="shared" ca="1" si="5"/>
        <v>45959</v>
      </c>
      <c r="D178" s="81">
        <f ca="1">IF(Data!I178&lt;&gt;"",DATEDIF(Data!I178,C178,"m"),0)</f>
        <v>128</v>
      </c>
      <c r="E178" s="82">
        <f t="shared" ca="1" si="6"/>
        <v>10.666666666666666</v>
      </c>
      <c r="I178" s="81" t="str">
        <f>CONCATENATE(Data!M178,"-",Data!L178)</f>
        <v>CD-GE</v>
      </c>
      <c r="N178" s="81">
        <f>IF(Data!P178,DATEDIF(Data!O178,Data!P178,"d"),0)</f>
        <v>0</v>
      </c>
      <c r="O178" s="81">
        <f>IF(Data!M178="CD",1,0)</f>
        <v>1</v>
      </c>
      <c r="P178" s="81">
        <f>IF(Data!M178="CD",0,1)</f>
        <v>0</v>
      </c>
      <c r="Q178" s="81">
        <f>IF(Data!Q178&gt;Data!P178,DATEDIF(Data!P178,Data!Q178,"d"),0)</f>
        <v>5</v>
      </c>
      <c r="R178" s="81">
        <f>IF(Data!R178&gt;Data!Q178,DATEDIF(Data!Q178,Data!R178,"d"),0)</f>
        <v>4</v>
      </c>
      <c r="X178"/>
      <c r="Y178"/>
      <c r="Z178"/>
    </row>
    <row r="179" spans="2:26" ht="16" x14ac:dyDescent="0.2">
      <c r="B179" s="45"/>
      <c r="C179" s="80">
        <f t="shared" ca="1" si="5"/>
        <v>45959</v>
      </c>
      <c r="D179" s="81">
        <f ca="1">IF(Data!I179&lt;&gt;"",DATEDIF(Data!I179,C179,"m"),0)</f>
        <v>49</v>
      </c>
      <c r="E179" s="82">
        <f t="shared" ca="1" si="6"/>
        <v>4.083333333333333</v>
      </c>
      <c r="I179" s="81" t="str">
        <f>CONCATENATE(Data!M179,"-",Data!L179)</f>
        <v>CD-GE</v>
      </c>
      <c r="N179" s="81">
        <f>IF(Data!P179,DATEDIF(Data!O179,Data!P179,"d"),0)</f>
        <v>0</v>
      </c>
      <c r="O179" s="81">
        <f>IF(Data!M179="CD",1,0)</f>
        <v>1</v>
      </c>
      <c r="P179" s="81">
        <f>IF(Data!M179="CD",0,1)</f>
        <v>0</v>
      </c>
      <c r="Q179" s="81">
        <f>IF(Data!Q179&gt;Data!P179,DATEDIF(Data!P179,Data!Q179,"d"),0)</f>
        <v>9</v>
      </c>
      <c r="R179" s="81">
        <f>IF(Data!R179&gt;Data!Q179,DATEDIF(Data!Q179,Data!R179,"d"),0)</f>
        <v>0</v>
      </c>
      <c r="X179"/>
      <c r="Y179"/>
      <c r="Z179"/>
    </row>
    <row r="180" spans="2:26" ht="16" x14ac:dyDescent="0.2">
      <c r="B180" s="45"/>
      <c r="C180" s="80">
        <f t="shared" ca="1" si="5"/>
        <v>45959</v>
      </c>
      <c r="D180" s="81">
        <f ca="1">IF(Data!I180&lt;&gt;"",DATEDIF(Data!I180,C180,"m"),0)</f>
        <v>124</v>
      </c>
      <c r="E180" s="82">
        <f t="shared" ca="1" si="6"/>
        <v>10.333333333333334</v>
      </c>
      <c r="I180" s="81" t="str">
        <f>CONCATENATE(Data!M180,"-",Data!L180)</f>
        <v>CD-VA</v>
      </c>
      <c r="N180" s="81">
        <f>IF(Data!P180,DATEDIF(Data!O180,Data!P180,"d"),0)</f>
        <v>23</v>
      </c>
      <c r="O180" s="81">
        <f>IF(Data!M180="CD",1,0)</f>
        <v>1</v>
      </c>
      <c r="P180" s="81">
        <f>IF(Data!M180="CD",0,1)</f>
        <v>0</v>
      </c>
      <c r="Q180" s="81">
        <f>IF(Data!Q180&gt;Data!P180,DATEDIF(Data!P180,Data!Q180,"d"),0)</f>
        <v>29</v>
      </c>
      <c r="R180" s="81">
        <f>IF(Data!R180&gt;Data!Q180,DATEDIF(Data!Q180,Data!R180,"d"),0)</f>
        <v>3</v>
      </c>
      <c r="X180"/>
      <c r="Y180"/>
      <c r="Z180"/>
    </row>
    <row r="181" spans="2:26" ht="16" x14ac:dyDescent="0.2">
      <c r="B181" s="45"/>
      <c r="C181" s="80">
        <f t="shared" ca="1" si="5"/>
        <v>45959</v>
      </c>
      <c r="D181" s="81">
        <f ca="1">IF(Data!I181&lt;&gt;"",DATEDIF(Data!I181,C181,"m"),0)</f>
        <v>190</v>
      </c>
      <c r="E181" s="82">
        <f t="shared" ca="1" si="6"/>
        <v>15.833333333333334</v>
      </c>
      <c r="I181" s="81" t="str">
        <f>CONCATENATE(Data!M181,"-",Data!L181)</f>
        <v>CD-GE</v>
      </c>
      <c r="N181" s="81">
        <f>IF(Data!P181,DATEDIF(Data!O181,Data!P181,"d"),0)</f>
        <v>1</v>
      </c>
      <c r="O181" s="81">
        <f>IF(Data!M181="CD",1,0)</f>
        <v>1</v>
      </c>
      <c r="P181" s="81">
        <f>IF(Data!M181="CD",0,1)</f>
        <v>0</v>
      </c>
      <c r="Q181" s="81">
        <f>IF(Data!Q181&gt;Data!P181,DATEDIF(Data!P181,Data!Q181,"d"),0)</f>
        <v>19</v>
      </c>
      <c r="R181" s="81">
        <f>IF(Data!R181&gt;Data!Q181,DATEDIF(Data!Q181,Data!R181,"d"),0)</f>
        <v>0</v>
      </c>
      <c r="X181"/>
      <c r="Y181"/>
      <c r="Z181"/>
    </row>
    <row r="182" spans="2:26" ht="16" x14ac:dyDescent="0.2">
      <c r="B182" s="45"/>
      <c r="C182" s="80">
        <f t="shared" ca="1" si="5"/>
        <v>45959</v>
      </c>
      <c r="D182" s="81">
        <f ca="1">IF(Data!I182&lt;&gt;"",DATEDIF(Data!I182,C182,"m"),0)</f>
        <v>167</v>
      </c>
      <c r="E182" s="82">
        <f t="shared" ca="1" si="6"/>
        <v>13.916666666666666</v>
      </c>
      <c r="I182" s="81" t="str">
        <f>CONCATENATE(Data!M182,"-",Data!L182)</f>
        <v>CD-GE</v>
      </c>
      <c r="N182" s="81">
        <f>IF(Data!P182,DATEDIF(Data!O182,Data!P182,"d"),0)</f>
        <v>0</v>
      </c>
      <c r="O182" s="81">
        <f>IF(Data!M182="CD",1,0)</f>
        <v>1</v>
      </c>
      <c r="P182" s="81">
        <f>IF(Data!M182="CD",0,1)</f>
        <v>0</v>
      </c>
      <c r="Q182" s="81">
        <f>IF(Data!Q182&gt;Data!P182,DATEDIF(Data!P182,Data!Q182,"d"),0)</f>
        <v>17</v>
      </c>
      <c r="R182" s="81">
        <f>IF(Data!R182&gt;Data!Q182,DATEDIF(Data!Q182,Data!R182,"d"),0)</f>
        <v>0</v>
      </c>
      <c r="X182"/>
      <c r="Y182"/>
      <c r="Z182"/>
    </row>
    <row r="183" spans="2:26" ht="16" x14ac:dyDescent="0.2">
      <c r="B183" s="45"/>
      <c r="C183" s="80">
        <f t="shared" ca="1" si="5"/>
        <v>45959</v>
      </c>
      <c r="D183" s="81">
        <f ca="1">IF(Data!I183&lt;&gt;"",DATEDIF(Data!I183,C183,"m"),0)</f>
        <v>114</v>
      </c>
      <c r="E183" s="82">
        <f t="shared" ca="1" si="6"/>
        <v>9.5</v>
      </c>
      <c r="I183" s="81" t="str">
        <f>CONCATENATE(Data!M183,"-",Data!L183)</f>
        <v>CD-BA</v>
      </c>
      <c r="N183" s="81">
        <f>IF(Data!P183,DATEDIF(Data!O183,Data!P183,"d"),0)</f>
        <v>2</v>
      </c>
      <c r="O183" s="81">
        <f>IF(Data!M183="CD",1,0)</f>
        <v>1</v>
      </c>
      <c r="P183" s="81">
        <f>IF(Data!M183="CD",0,1)</f>
        <v>0</v>
      </c>
      <c r="Q183" s="81">
        <f>IF(Data!Q183&gt;Data!P183,DATEDIF(Data!P183,Data!Q183,"d"),0)</f>
        <v>0</v>
      </c>
      <c r="R183" s="81">
        <f>IF(Data!R183&gt;Data!Q183,DATEDIF(Data!Q183,Data!R183,"d"),0)</f>
        <v>19</v>
      </c>
      <c r="X183"/>
      <c r="Y183"/>
      <c r="Z183"/>
    </row>
    <row r="184" spans="2:26" ht="16" x14ac:dyDescent="0.2">
      <c r="B184" s="45"/>
      <c r="C184" s="80">
        <f t="shared" ca="1" si="5"/>
        <v>45959</v>
      </c>
      <c r="D184" s="81">
        <f ca="1">IF(Data!I184&lt;&gt;"",DATEDIF(Data!I184,C184,"m"),0)</f>
        <v>5</v>
      </c>
      <c r="E184" s="82">
        <f t="shared" ca="1" si="6"/>
        <v>0.41666666666666669</v>
      </c>
      <c r="I184" s="81" t="str">
        <f>CONCATENATE(Data!M184,"-",Data!L184)</f>
        <v>CD-GE</v>
      </c>
      <c r="N184" s="81">
        <f>IF(Data!P184,DATEDIF(Data!O184,Data!P184,"d"),0)</f>
        <v>1</v>
      </c>
      <c r="O184" s="81">
        <f>IF(Data!M184="CD",1,0)</f>
        <v>1</v>
      </c>
      <c r="P184" s="81">
        <f>IF(Data!M184="CD",0,1)</f>
        <v>0</v>
      </c>
      <c r="Q184" s="81">
        <f>IF(Data!Q184&gt;Data!P184,DATEDIF(Data!P184,Data!Q184,"d"),0)</f>
        <v>1</v>
      </c>
      <c r="R184" s="81">
        <f>IF(Data!R184&gt;Data!Q184,DATEDIF(Data!Q184,Data!R184,"d"),0)</f>
        <v>14</v>
      </c>
      <c r="X184"/>
      <c r="Y184"/>
      <c r="Z184"/>
    </row>
    <row r="185" spans="2:26" ht="16" x14ac:dyDescent="0.2">
      <c r="B185" s="45"/>
      <c r="C185" s="80">
        <f t="shared" ca="1" si="5"/>
        <v>45959</v>
      </c>
      <c r="D185" s="81">
        <f ca="1">IF(Data!I185&lt;&gt;"",DATEDIF(Data!I185,C185,"m"),0)</f>
        <v>65</v>
      </c>
      <c r="E185" s="82">
        <f t="shared" ca="1" si="6"/>
        <v>5.416666666666667</v>
      </c>
      <c r="I185" s="81" t="str">
        <f>CONCATENATE(Data!M185,"-",Data!L185)</f>
        <v>CD-BA</v>
      </c>
      <c r="N185" s="81">
        <f>IF(Data!P185,DATEDIF(Data!O185,Data!P185,"d"),0)</f>
        <v>0</v>
      </c>
      <c r="O185" s="81">
        <f>IF(Data!M185="CD",1,0)</f>
        <v>1</v>
      </c>
      <c r="P185" s="81">
        <f>IF(Data!M185="CD",0,1)</f>
        <v>0</v>
      </c>
      <c r="Q185" s="81">
        <f>IF(Data!Q185&gt;Data!P185,DATEDIF(Data!P185,Data!Q185,"d"),0)</f>
        <v>1</v>
      </c>
      <c r="R185" s="81">
        <f>IF(Data!R185&gt;Data!Q185,DATEDIF(Data!Q185,Data!R185,"d"),0)</f>
        <v>8</v>
      </c>
      <c r="X185"/>
      <c r="Y185"/>
      <c r="Z185"/>
    </row>
    <row r="186" spans="2:26" ht="16" x14ac:dyDescent="0.2">
      <c r="B186" s="45"/>
      <c r="C186" s="80">
        <f t="shared" ca="1" si="5"/>
        <v>45959</v>
      </c>
      <c r="D186" s="81">
        <f ca="1">IF(Data!I186&lt;&gt;"",DATEDIF(Data!I186,C186,"m"),0)</f>
        <v>124</v>
      </c>
      <c r="E186" s="82">
        <f t="shared" ca="1" si="6"/>
        <v>10.333333333333334</v>
      </c>
      <c r="I186" s="81" t="str">
        <f>CONCATENATE(Data!M186,"-",Data!L186)</f>
        <v>CD-VA</v>
      </c>
      <c r="N186" s="81">
        <f>IF(Data!P186,DATEDIF(Data!O186,Data!P186,"d"),0)</f>
        <v>27</v>
      </c>
      <c r="O186" s="81">
        <f>IF(Data!M186="CD",1,0)</f>
        <v>1</v>
      </c>
      <c r="P186" s="81">
        <f>IF(Data!M186="CD",0,1)</f>
        <v>0</v>
      </c>
      <c r="Q186" s="81">
        <f>IF(Data!Q186&gt;Data!P186,DATEDIF(Data!P186,Data!Q186,"d"),0)</f>
        <v>46</v>
      </c>
      <c r="R186" s="81">
        <f>IF(Data!R186&gt;Data!Q186,DATEDIF(Data!Q186,Data!R186,"d"),0)</f>
        <v>1</v>
      </c>
      <c r="X186"/>
      <c r="Y186"/>
      <c r="Z186"/>
    </row>
    <row r="187" spans="2:26" ht="16" x14ac:dyDescent="0.2">
      <c r="B187" s="45"/>
      <c r="C187" s="80">
        <f t="shared" ca="1" si="5"/>
        <v>45959</v>
      </c>
      <c r="D187" s="81">
        <f>IF(Data!I187&lt;&gt;"",DATEDIF(Data!I187,C187,"m"),0)</f>
        <v>0</v>
      </c>
      <c r="E187" s="82">
        <f t="shared" si="6"/>
        <v>0</v>
      </c>
      <c r="I187" s="81" t="str">
        <f>CONCATENATE(Data!M187,"-",Data!L187)</f>
        <v>ML-GE</v>
      </c>
      <c r="N187" s="81">
        <f>IF(Data!P187,DATEDIF(Data!O187,Data!P187,"d"),0)</f>
        <v>0</v>
      </c>
      <c r="O187" s="81">
        <f>IF(Data!M187="CD",1,0)</f>
        <v>0</v>
      </c>
      <c r="P187" s="81">
        <f>IF(Data!M187="CD",0,1)</f>
        <v>1</v>
      </c>
      <c r="Q187" s="81">
        <f>IF(Data!Q187&gt;Data!P187,DATEDIF(Data!P187,Data!Q187,"d"),0)</f>
        <v>5</v>
      </c>
      <c r="R187" s="81">
        <f>IF(Data!R187&gt;Data!Q187,DATEDIF(Data!Q187,Data!R187,"d"),0)</f>
        <v>16</v>
      </c>
      <c r="X187"/>
      <c r="Y187"/>
      <c r="Z187"/>
    </row>
    <row r="188" spans="2:26" ht="16" x14ac:dyDescent="0.2">
      <c r="B188" s="45"/>
      <c r="C188" s="80">
        <f t="shared" ca="1" si="5"/>
        <v>45959</v>
      </c>
      <c r="D188" s="81">
        <f ca="1">IF(Data!I188&lt;&gt;"",DATEDIF(Data!I188,C188,"m"),0)</f>
        <v>7</v>
      </c>
      <c r="E188" s="82">
        <f t="shared" ca="1" si="6"/>
        <v>0.58333333333333337</v>
      </c>
      <c r="I188" s="81" t="str">
        <f>CONCATENATE(Data!M188,"-",Data!L188)</f>
        <v>CD-GE</v>
      </c>
      <c r="N188" s="81">
        <f>IF(Data!P188,DATEDIF(Data!O188,Data!P188,"d"),0)</f>
        <v>0</v>
      </c>
      <c r="O188" s="81">
        <f>IF(Data!M188="CD",1,0)</f>
        <v>1</v>
      </c>
      <c r="P188" s="81">
        <f>IF(Data!M188="CD",0,1)</f>
        <v>0</v>
      </c>
      <c r="Q188" s="81">
        <f>IF(Data!Q188&gt;Data!P188,DATEDIF(Data!P188,Data!Q188,"d"),0)</f>
        <v>0</v>
      </c>
      <c r="R188" s="81">
        <f>IF(Data!R188&gt;Data!Q188,DATEDIF(Data!Q188,Data!R188,"d"),0)</f>
        <v>33</v>
      </c>
      <c r="X188"/>
      <c r="Y188"/>
      <c r="Z188"/>
    </row>
    <row r="189" spans="2:26" ht="16" x14ac:dyDescent="0.2">
      <c r="B189" s="45"/>
      <c r="C189" s="80">
        <f t="shared" ca="1" si="5"/>
        <v>45959</v>
      </c>
      <c r="D189" s="81">
        <f ca="1">IF(Data!I189&lt;&gt;"",DATEDIF(Data!I189,C189,"m"),0)</f>
        <v>7</v>
      </c>
      <c r="E189" s="82">
        <f t="shared" ca="1" si="6"/>
        <v>0.58333333333333337</v>
      </c>
      <c r="I189" s="81" t="str">
        <f>CONCATENATE(Data!M189,"-",Data!L189)</f>
        <v>CD-GE</v>
      </c>
      <c r="N189" s="81">
        <f>IF(Data!P189,DATEDIF(Data!O189,Data!P189,"d"),0)</f>
        <v>0</v>
      </c>
      <c r="O189" s="81">
        <f>IF(Data!M189="CD",1,0)</f>
        <v>1</v>
      </c>
      <c r="P189" s="81">
        <f>IF(Data!M189="CD",0,1)</f>
        <v>0</v>
      </c>
      <c r="Q189" s="81">
        <f>IF(Data!Q189&gt;Data!P189,DATEDIF(Data!P189,Data!Q189,"d"),0)</f>
        <v>48</v>
      </c>
      <c r="R189" s="81">
        <f>IF(Data!R189&gt;Data!Q189,DATEDIF(Data!Q189,Data!R189,"d"),0)</f>
        <v>13</v>
      </c>
      <c r="X189"/>
      <c r="Y189"/>
      <c r="Z189"/>
    </row>
    <row r="190" spans="2:26" ht="16" x14ac:dyDescent="0.2">
      <c r="B190" s="45"/>
      <c r="C190" s="80">
        <f t="shared" ca="1" si="5"/>
        <v>45959</v>
      </c>
      <c r="D190" s="81">
        <f ca="1">IF(Data!I190&lt;&gt;"",DATEDIF(Data!I190,C190,"m"),0)</f>
        <v>16</v>
      </c>
      <c r="E190" s="82">
        <f t="shared" ca="1" si="6"/>
        <v>1.3333333333333333</v>
      </c>
      <c r="I190" s="81" t="str">
        <f>CONCATENATE(Data!M190,"-",Data!L190)</f>
        <v>CD-CH</v>
      </c>
      <c r="N190" s="81">
        <f>IF(Data!P190,DATEDIF(Data!O190,Data!P190,"d"),0)</f>
        <v>0</v>
      </c>
      <c r="O190" s="81">
        <f>IF(Data!M190="CD",1,0)</f>
        <v>1</v>
      </c>
      <c r="P190" s="81">
        <f>IF(Data!M190="CD",0,1)</f>
        <v>0</v>
      </c>
      <c r="Q190" s="81">
        <f>IF(Data!Q190&gt;Data!P190,DATEDIF(Data!P190,Data!Q190,"d"),0)</f>
        <v>2</v>
      </c>
      <c r="R190" s="81">
        <f>IF(Data!R190&gt;Data!Q190,DATEDIF(Data!Q190,Data!R190,"d"),0)</f>
        <v>25</v>
      </c>
      <c r="X190"/>
      <c r="Y190"/>
      <c r="Z190"/>
    </row>
    <row r="191" spans="2:26" ht="16" x14ac:dyDescent="0.2">
      <c r="B191" s="45"/>
      <c r="C191" s="80">
        <f t="shared" ca="1" si="5"/>
        <v>45959</v>
      </c>
      <c r="D191" s="81">
        <f ca="1">IF(Data!I191&lt;&gt;"",DATEDIF(Data!I191,C191,"m"),0)</f>
        <v>57</v>
      </c>
      <c r="E191" s="82">
        <f t="shared" ca="1" si="6"/>
        <v>4.75</v>
      </c>
      <c r="I191" s="81" t="str">
        <f>CONCATENATE(Data!M191,"-",Data!L191)</f>
        <v>CD-BA</v>
      </c>
      <c r="N191" s="81">
        <f>IF(Data!P191,DATEDIF(Data!O191,Data!P191,"d"),0)</f>
        <v>2</v>
      </c>
      <c r="O191" s="81">
        <f>IF(Data!M191="CD",1,0)</f>
        <v>1</v>
      </c>
      <c r="P191" s="81">
        <f>IF(Data!M191="CD",0,1)</f>
        <v>0</v>
      </c>
      <c r="Q191" s="81">
        <f>IF(Data!Q191&gt;Data!P191,DATEDIF(Data!P191,Data!Q191,"d"),0)</f>
        <v>0</v>
      </c>
      <c r="R191" s="81">
        <f>IF(Data!R191&gt;Data!Q191,DATEDIF(Data!Q191,Data!R191,"d"),0)</f>
        <v>33</v>
      </c>
      <c r="X191"/>
      <c r="Y191"/>
      <c r="Z191"/>
    </row>
    <row r="192" spans="2:26" ht="16" x14ac:dyDescent="0.2">
      <c r="B192" s="45"/>
      <c r="C192" s="80">
        <f t="shared" ca="1" si="5"/>
        <v>45959</v>
      </c>
      <c r="D192" s="81">
        <f ca="1">IF(Data!I192&lt;&gt;"",DATEDIF(Data!I192,C192,"m"),0)</f>
        <v>41</v>
      </c>
      <c r="E192" s="82">
        <f t="shared" ca="1" si="6"/>
        <v>3.4166666666666665</v>
      </c>
      <c r="I192" s="81" t="str">
        <f>CONCATENATE(Data!M192,"-",Data!L192)</f>
        <v>CD-BA</v>
      </c>
      <c r="N192" s="81">
        <f>IF(Data!P192,DATEDIF(Data!O192,Data!P192,"d"),0)</f>
        <v>0</v>
      </c>
      <c r="O192" s="81">
        <f>IF(Data!M192="CD",1,0)</f>
        <v>1</v>
      </c>
      <c r="P192" s="81">
        <f>IF(Data!M192="CD",0,1)</f>
        <v>0</v>
      </c>
      <c r="Q192" s="81">
        <f>IF(Data!Q192&gt;Data!P192,DATEDIF(Data!P192,Data!Q192,"d"),0)</f>
        <v>2</v>
      </c>
      <c r="R192" s="81">
        <f>IF(Data!R192&gt;Data!Q192,DATEDIF(Data!Q192,Data!R192,"d"),0)</f>
        <v>11</v>
      </c>
      <c r="X192"/>
      <c r="Y192"/>
      <c r="Z192"/>
    </row>
    <row r="193" spans="2:26" ht="16" x14ac:dyDescent="0.2">
      <c r="B193" s="45"/>
      <c r="C193" s="80">
        <f t="shared" ca="1" si="5"/>
        <v>45959</v>
      </c>
      <c r="D193" s="81">
        <f ca="1">IF(Data!I193&lt;&gt;"",DATEDIF(Data!I193,C193,"m"),0)</f>
        <v>129</v>
      </c>
      <c r="E193" s="82">
        <f t="shared" ca="1" si="6"/>
        <v>10.75</v>
      </c>
      <c r="I193" s="81" t="str">
        <f>CONCATENATE(Data!M193,"-",Data!L193)</f>
        <v>CD-CH</v>
      </c>
      <c r="N193" s="81">
        <f>IF(Data!P193,DATEDIF(Data!O193,Data!P193,"d"),0)</f>
        <v>0</v>
      </c>
      <c r="O193" s="81">
        <f>IF(Data!M193="CD",1,0)</f>
        <v>1</v>
      </c>
      <c r="P193" s="81">
        <f>IF(Data!M193="CD",0,1)</f>
        <v>0</v>
      </c>
      <c r="Q193" s="81">
        <f>IF(Data!Q193&gt;Data!P193,DATEDIF(Data!P193,Data!Q193,"d"),0)</f>
        <v>2</v>
      </c>
      <c r="R193" s="81">
        <f>IF(Data!R193&gt;Data!Q193,DATEDIF(Data!Q193,Data!R193,"d"),0)</f>
        <v>27</v>
      </c>
      <c r="X193"/>
      <c r="Y193"/>
      <c r="Z193"/>
    </row>
    <row r="194" spans="2:26" ht="16" x14ac:dyDescent="0.2">
      <c r="B194" s="45"/>
      <c r="C194" s="80">
        <f t="shared" ref="C194:C257" ca="1" si="7">TODAY()</f>
        <v>45959</v>
      </c>
      <c r="D194" s="81">
        <f ca="1">IF(Data!I194&lt;&gt;"",DATEDIF(Data!I194,C194,"m"),0)</f>
        <v>73</v>
      </c>
      <c r="E194" s="82">
        <f t="shared" ca="1" si="6"/>
        <v>6.083333333333333</v>
      </c>
      <c r="I194" s="81" t="str">
        <f>CONCATENATE(Data!M194,"-",Data!L194)</f>
        <v>CD-BA</v>
      </c>
      <c r="N194" s="81">
        <f>IF(Data!P194,DATEDIF(Data!O194,Data!P194,"d"),0)</f>
        <v>3</v>
      </c>
      <c r="O194" s="81">
        <f>IF(Data!M194="CD",1,0)</f>
        <v>1</v>
      </c>
      <c r="P194" s="81">
        <f>IF(Data!M194="CD",0,1)</f>
        <v>0</v>
      </c>
      <c r="Q194" s="81">
        <f>IF(Data!Q194&gt;Data!P194,DATEDIF(Data!P194,Data!Q194,"d"),0)</f>
        <v>8</v>
      </c>
      <c r="R194" s="81">
        <f>IF(Data!R194&gt;Data!Q194,DATEDIF(Data!Q194,Data!R194,"d"),0)</f>
        <v>8</v>
      </c>
      <c r="X194"/>
      <c r="Y194"/>
      <c r="Z194"/>
    </row>
    <row r="195" spans="2:26" ht="16" x14ac:dyDescent="0.2">
      <c r="B195" s="45"/>
      <c r="C195" s="80">
        <f t="shared" ca="1" si="7"/>
        <v>45959</v>
      </c>
      <c r="D195" s="81">
        <f ca="1">IF(Data!I195&lt;&gt;"",DATEDIF(Data!I195,C195,"m"),0)</f>
        <v>21</v>
      </c>
      <c r="E195" s="82">
        <f t="shared" ref="E195:E258" ca="1" si="8">D195/12</f>
        <v>1.75</v>
      </c>
      <c r="I195" s="81" t="str">
        <f>CONCATENATE(Data!M195,"-",Data!L195)</f>
        <v>CD-BA</v>
      </c>
      <c r="N195" s="81">
        <f>IF(Data!P195,DATEDIF(Data!O195,Data!P195,"d"),0)</f>
        <v>3</v>
      </c>
      <c r="O195" s="81">
        <f>IF(Data!M195="CD",1,0)</f>
        <v>1</v>
      </c>
      <c r="P195" s="81">
        <f>IF(Data!M195="CD",0,1)</f>
        <v>0</v>
      </c>
      <c r="Q195" s="81">
        <f>IF(Data!Q195&gt;Data!P195,DATEDIF(Data!P195,Data!Q195,"d"),0)</f>
        <v>2</v>
      </c>
      <c r="R195" s="81">
        <f>IF(Data!R195&gt;Data!Q195,DATEDIF(Data!Q195,Data!R195,"d"),0)</f>
        <v>12</v>
      </c>
      <c r="X195"/>
      <c r="Y195"/>
      <c r="Z195"/>
    </row>
    <row r="196" spans="2:26" ht="16" x14ac:dyDescent="0.2">
      <c r="B196" s="45"/>
      <c r="C196" s="80">
        <f t="shared" ca="1" si="7"/>
        <v>45959</v>
      </c>
      <c r="D196" s="81">
        <f ca="1">IF(Data!I196&lt;&gt;"",DATEDIF(Data!I196,C196,"m"),0)</f>
        <v>47</v>
      </c>
      <c r="E196" s="82">
        <f t="shared" ca="1" si="8"/>
        <v>3.9166666666666665</v>
      </c>
      <c r="I196" s="81" t="str">
        <f>CONCATENATE(Data!M196,"-",Data!L196)</f>
        <v>CD-GE</v>
      </c>
      <c r="N196" s="81">
        <f>IF(Data!P196,DATEDIF(Data!O196,Data!P196,"d"),0)</f>
        <v>0</v>
      </c>
      <c r="O196" s="81">
        <f>IF(Data!M196="CD",1,0)</f>
        <v>1</v>
      </c>
      <c r="P196" s="81">
        <f>IF(Data!M196="CD",0,1)</f>
        <v>0</v>
      </c>
      <c r="Q196" s="81">
        <f>IF(Data!Q196&gt;Data!P196,DATEDIF(Data!P196,Data!Q196,"d"),0)</f>
        <v>12</v>
      </c>
      <c r="R196" s="81">
        <f>IF(Data!R196&gt;Data!Q196,DATEDIF(Data!Q196,Data!R196,"d"),0)</f>
        <v>14</v>
      </c>
      <c r="X196"/>
      <c r="Y196"/>
      <c r="Z196"/>
    </row>
    <row r="197" spans="2:26" ht="16" x14ac:dyDescent="0.2">
      <c r="B197" s="45"/>
      <c r="C197" s="80">
        <f t="shared" ca="1" si="7"/>
        <v>45959</v>
      </c>
      <c r="D197" s="81">
        <f ca="1">IF(Data!I197&lt;&gt;"",DATEDIF(Data!I197,C197,"m"),0)</f>
        <v>67</v>
      </c>
      <c r="E197" s="82">
        <f t="shared" ca="1" si="8"/>
        <v>5.583333333333333</v>
      </c>
      <c r="I197" s="81" t="str">
        <f>CONCATENATE(Data!M197,"-",Data!L197)</f>
        <v>CI-GE</v>
      </c>
      <c r="N197" s="81">
        <f>IF(Data!P197,DATEDIF(Data!O197,Data!P197,"d"),0)</f>
        <v>0</v>
      </c>
      <c r="O197" s="81">
        <f>IF(Data!M197="CD",1,0)</f>
        <v>0</v>
      </c>
      <c r="P197" s="81">
        <f>IF(Data!M197="CD",0,1)</f>
        <v>1</v>
      </c>
      <c r="Q197" s="81">
        <f>IF(Data!Q197&gt;Data!P197,DATEDIF(Data!P197,Data!Q197,"d"),0)</f>
        <v>4</v>
      </c>
      <c r="R197" s="81">
        <f>IF(Data!R197&gt;Data!Q197,DATEDIF(Data!Q197,Data!R197,"d"),0)</f>
        <v>16</v>
      </c>
      <c r="X197"/>
      <c r="Y197"/>
      <c r="Z197"/>
    </row>
    <row r="198" spans="2:26" ht="16" x14ac:dyDescent="0.2">
      <c r="B198" s="45"/>
      <c r="C198" s="80">
        <f t="shared" ca="1" si="7"/>
        <v>45959</v>
      </c>
      <c r="D198" s="81">
        <f ca="1">IF(Data!I198&lt;&gt;"",DATEDIF(Data!I198,C198,"m"),0)</f>
        <v>28</v>
      </c>
      <c r="E198" s="82">
        <f t="shared" ca="1" si="8"/>
        <v>2.3333333333333335</v>
      </c>
      <c r="I198" s="81" t="str">
        <f>CONCATENATE(Data!M198,"-",Data!L198)</f>
        <v>CI-BA</v>
      </c>
      <c r="N198" s="81">
        <f>IF(Data!P198,DATEDIF(Data!O198,Data!P198,"d"),0)</f>
        <v>0</v>
      </c>
      <c r="O198" s="81">
        <f>IF(Data!M198="CD",1,0)</f>
        <v>0</v>
      </c>
      <c r="P198" s="81">
        <f>IF(Data!M198="CD",0,1)</f>
        <v>1</v>
      </c>
      <c r="Q198" s="81">
        <f>IF(Data!Q198&gt;Data!P198,DATEDIF(Data!P198,Data!Q198,"d"),0)</f>
        <v>0</v>
      </c>
      <c r="R198" s="81">
        <f>IF(Data!R198&gt;Data!Q198,DATEDIF(Data!Q198,Data!R198,"d"),0)</f>
        <v>0</v>
      </c>
      <c r="X198"/>
      <c r="Y198"/>
      <c r="Z198"/>
    </row>
    <row r="199" spans="2:26" ht="16" x14ac:dyDescent="0.2">
      <c r="B199" s="45"/>
      <c r="C199" s="80">
        <f t="shared" ca="1" si="7"/>
        <v>45959</v>
      </c>
      <c r="D199" s="81">
        <f ca="1">IF(Data!I199&lt;&gt;"",DATEDIF(Data!I199,C199,"m"),0)</f>
        <v>65</v>
      </c>
      <c r="E199" s="82">
        <f t="shared" ca="1" si="8"/>
        <v>5.416666666666667</v>
      </c>
      <c r="I199" s="81" t="str">
        <f>CONCATENATE(Data!M199,"-",Data!L199)</f>
        <v>CD-GE</v>
      </c>
      <c r="N199" s="81">
        <f>IF(Data!P199,DATEDIF(Data!O199,Data!P199,"d"),0)</f>
        <v>1</v>
      </c>
      <c r="O199" s="81">
        <f>IF(Data!M199="CD",1,0)</f>
        <v>1</v>
      </c>
      <c r="P199" s="81">
        <f>IF(Data!M199="CD",0,1)</f>
        <v>0</v>
      </c>
      <c r="Q199" s="81">
        <f>IF(Data!Q199&gt;Data!P199,DATEDIF(Data!P199,Data!Q199,"d"),0)</f>
        <v>4</v>
      </c>
      <c r="R199" s="81">
        <f>IF(Data!R199&gt;Data!Q199,DATEDIF(Data!Q199,Data!R199,"d"),0)</f>
        <v>23</v>
      </c>
      <c r="X199"/>
      <c r="Y199"/>
      <c r="Z199"/>
    </row>
    <row r="200" spans="2:26" ht="16" x14ac:dyDescent="0.2">
      <c r="B200" s="45"/>
      <c r="C200" s="80">
        <f t="shared" ca="1" si="7"/>
        <v>45959</v>
      </c>
      <c r="D200" s="81">
        <f>IF(Data!I200&lt;&gt;"",DATEDIF(Data!I200,C200,"m"),0)</f>
        <v>0</v>
      </c>
      <c r="E200" s="82">
        <f t="shared" si="8"/>
        <v>0</v>
      </c>
      <c r="I200" s="81" t="str">
        <f>CONCATENATE(Data!M200,"-",Data!L200)</f>
        <v>CD-GE</v>
      </c>
      <c r="N200" s="81">
        <f>IF(Data!P200,DATEDIF(Data!O200,Data!P200,"d"),0)</f>
        <v>1</v>
      </c>
      <c r="O200" s="81">
        <f>IF(Data!M200="CD",1,0)</f>
        <v>1</v>
      </c>
      <c r="P200" s="81">
        <f>IF(Data!M200="CD",0,1)</f>
        <v>0</v>
      </c>
      <c r="Q200" s="81">
        <f>IF(Data!Q200&gt;Data!P200,DATEDIF(Data!P200,Data!Q200,"d"),0)</f>
        <v>0</v>
      </c>
      <c r="R200" s="81">
        <f>IF(Data!R200&gt;Data!Q200,DATEDIF(Data!Q200,Data!R200,"d"),0)</f>
        <v>0</v>
      </c>
      <c r="X200"/>
      <c r="Y200"/>
      <c r="Z200"/>
    </row>
    <row r="201" spans="2:26" ht="16" x14ac:dyDescent="0.2">
      <c r="B201" s="45"/>
      <c r="C201" s="80">
        <f t="shared" ca="1" si="7"/>
        <v>45959</v>
      </c>
      <c r="D201" s="81">
        <f ca="1">IF(Data!I201&lt;&gt;"",DATEDIF(Data!I201,C201,"m"),0)</f>
        <v>197</v>
      </c>
      <c r="E201" s="82">
        <f t="shared" ca="1" si="8"/>
        <v>16.416666666666668</v>
      </c>
      <c r="I201" s="81" t="str">
        <f>CONCATENATE(Data!M201,"-",Data!L201)</f>
        <v>CD-GE</v>
      </c>
      <c r="N201" s="81">
        <f>IF(Data!P201,DATEDIF(Data!O201,Data!P201,"d"),0)</f>
        <v>1</v>
      </c>
      <c r="O201" s="81">
        <f>IF(Data!M201="CD",1,0)</f>
        <v>1</v>
      </c>
      <c r="P201" s="81">
        <f>IF(Data!M201="CD",0,1)</f>
        <v>0</v>
      </c>
      <c r="Q201" s="81">
        <f>IF(Data!Q201&gt;Data!P201,DATEDIF(Data!P201,Data!Q201,"d"),0)</f>
        <v>10</v>
      </c>
      <c r="R201" s="81">
        <f>IF(Data!R201&gt;Data!Q201,DATEDIF(Data!Q201,Data!R201,"d"),0)</f>
        <v>24</v>
      </c>
      <c r="X201"/>
      <c r="Y201"/>
      <c r="Z201"/>
    </row>
    <row r="202" spans="2:26" ht="16" x14ac:dyDescent="0.2">
      <c r="B202" s="45"/>
      <c r="C202" s="80">
        <f t="shared" ca="1" si="7"/>
        <v>45959</v>
      </c>
      <c r="D202" s="81">
        <f ca="1">IF(Data!I202&lt;&gt;"",DATEDIF(Data!I202,C202,"m"),0)</f>
        <v>35</v>
      </c>
      <c r="E202" s="82">
        <f t="shared" ca="1" si="8"/>
        <v>2.9166666666666665</v>
      </c>
      <c r="I202" s="81" t="str">
        <f>CONCATENATE(Data!M202,"-",Data!L202)</f>
        <v>CD-GE</v>
      </c>
      <c r="N202" s="81">
        <f>IF(Data!P202,DATEDIF(Data!O202,Data!P202,"d"),0)</f>
        <v>1</v>
      </c>
      <c r="O202" s="81">
        <f>IF(Data!M202="CD",1,0)</f>
        <v>1</v>
      </c>
      <c r="P202" s="81">
        <f>IF(Data!M202="CD",0,1)</f>
        <v>0</v>
      </c>
      <c r="Q202" s="81">
        <f>IF(Data!Q202&gt;Data!P202,DATEDIF(Data!P202,Data!Q202,"d"),0)</f>
        <v>10</v>
      </c>
      <c r="R202" s="81">
        <f>IF(Data!R202&gt;Data!Q202,DATEDIF(Data!Q202,Data!R202,"d"),0)</f>
        <v>10</v>
      </c>
      <c r="X202"/>
      <c r="Y202"/>
      <c r="Z202"/>
    </row>
    <row r="203" spans="2:26" ht="16" x14ac:dyDescent="0.2">
      <c r="B203" s="45"/>
      <c r="C203" s="80">
        <f t="shared" ca="1" si="7"/>
        <v>45959</v>
      </c>
      <c r="D203" s="81">
        <f>IF(Data!I203&lt;&gt;"",DATEDIF(Data!I203,C203,"m"),0)</f>
        <v>0</v>
      </c>
      <c r="E203" s="82">
        <f t="shared" si="8"/>
        <v>0</v>
      </c>
      <c r="I203" s="81" t="str">
        <f>CONCATENATE(Data!M203,"-",Data!L203)</f>
        <v>CD-GE</v>
      </c>
      <c r="N203" s="81">
        <f>IF(Data!P203,DATEDIF(Data!O203,Data!P203,"d"),0)</f>
        <v>1</v>
      </c>
      <c r="O203" s="81">
        <f>IF(Data!M203="CD",1,0)</f>
        <v>1</v>
      </c>
      <c r="P203" s="81">
        <f>IF(Data!M203="CD",0,1)</f>
        <v>0</v>
      </c>
      <c r="Q203" s="81">
        <f>IF(Data!Q203&gt;Data!P203,DATEDIF(Data!P203,Data!Q203,"d"),0)</f>
        <v>1</v>
      </c>
      <c r="R203" s="81">
        <f>IF(Data!R203&gt;Data!Q203,DATEDIF(Data!Q203,Data!R203,"d"),0)</f>
        <v>21</v>
      </c>
      <c r="X203"/>
      <c r="Y203"/>
      <c r="Z203"/>
    </row>
    <row r="204" spans="2:26" ht="16" x14ac:dyDescent="0.2">
      <c r="B204" s="45"/>
      <c r="C204" s="80">
        <f t="shared" ca="1" si="7"/>
        <v>45959</v>
      </c>
      <c r="D204" s="81">
        <f>IF(Data!I204&lt;&gt;"",DATEDIF(Data!I204,C204,"m"),0)</f>
        <v>0</v>
      </c>
      <c r="E204" s="82">
        <f t="shared" si="8"/>
        <v>0</v>
      </c>
      <c r="I204" s="81" t="str">
        <f>CONCATENATE(Data!M204,"-",Data!L204)</f>
        <v>ML-GE</v>
      </c>
      <c r="N204" s="81">
        <f>IF(Data!P204,DATEDIF(Data!O204,Data!P204,"d"),0)</f>
        <v>1</v>
      </c>
      <c r="O204" s="81">
        <f>IF(Data!M204="CD",1,0)</f>
        <v>0</v>
      </c>
      <c r="P204" s="81">
        <f>IF(Data!M204="CD",0,1)</f>
        <v>1</v>
      </c>
      <c r="Q204" s="81">
        <f>IF(Data!Q204&gt;Data!P204,DATEDIF(Data!P204,Data!Q204,"d"),0)</f>
        <v>1</v>
      </c>
      <c r="R204" s="81">
        <f>IF(Data!R204&gt;Data!Q204,DATEDIF(Data!Q204,Data!R204,"d"),0)</f>
        <v>38</v>
      </c>
      <c r="X204"/>
      <c r="Y204"/>
      <c r="Z204"/>
    </row>
    <row r="205" spans="2:26" ht="16" x14ac:dyDescent="0.2">
      <c r="B205" s="45"/>
      <c r="C205" s="80">
        <f t="shared" ca="1" si="7"/>
        <v>45959</v>
      </c>
      <c r="D205" s="81">
        <f>IF(Data!I205&lt;&gt;"",DATEDIF(Data!I205,C205,"m"),0)</f>
        <v>0</v>
      </c>
      <c r="E205" s="82">
        <f t="shared" si="8"/>
        <v>0</v>
      </c>
      <c r="I205" s="81" t="str">
        <f>CONCATENATE(Data!M205,"-",Data!L205)</f>
        <v>CI-BA</v>
      </c>
      <c r="N205" s="81">
        <f>IF(Data!P205,DATEDIF(Data!O205,Data!P205,"d"),0)</f>
        <v>1</v>
      </c>
      <c r="O205" s="81">
        <f>IF(Data!M205="CD",1,0)</f>
        <v>0</v>
      </c>
      <c r="P205" s="81">
        <f>IF(Data!M205="CD",0,1)</f>
        <v>1</v>
      </c>
      <c r="Q205" s="81">
        <f>IF(Data!Q205&gt;Data!P205,DATEDIF(Data!P205,Data!Q205,"d"),0)</f>
        <v>13</v>
      </c>
      <c r="R205" s="81">
        <f>IF(Data!R205&gt;Data!Q205,DATEDIF(Data!Q205,Data!R205,"d"),0)</f>
        <v>68</v>
      </c>
      <c r="X205"/>
      <c r="Y205"/>
      <c r="Z205"/>
    </row>
    <row r="206" spans="2:26" ht="16" x14ac:dyDescent="0.2">
      <c r="B206" s="45"/>
      <c r="C206" s="80">
        <f t="shared" ca="1" si="7"/>
        <v>45959</v>
      </c>
      <c r="D206" s="81">
        <f ca="1">IF(Data!I206&lt;&gt;"",DATEDIF(Data!I206,C206,"m"),0)</f>
        <v>88</v>
      </c>
      <c r="E206" s="82">
        <f t="shared" ca="1" si="8"/>
        <v>7.333333333333333</v>
      </c>
      <c r="I206" s="81" t="str">
        <f>CONCATENATE(Data!M206,"-",Data!L206)</f>
        <v>CD-CH</v>
      </c>
      <c r="N206" s="81">
        <f>IF(Data!P206,DATEDIF(Data!O206,Data!P206,"d"),0)</f>
        <v>1</v>
      </c>
      <c r="O206" s="81">
        <f>IF(Data!M206="CD",1,0)</f>
        <v>1</v>
      </c>
      <c r="P206" s="81">
        <f>IF(Data!M206="CD",0,1)</f>
        <v>0</v>
      </c>
      <c r="Q206" s="81">
        <f>IF(Data!Q206&gt;Data!P206,DATEDIF(Data!P206,Data!Q206,"d"),0)</f>
        <v>53</v>
      </c>
      <c r="R206" s="81">
        <f>IF(Data!R206&gt;Data!Q206,DATEDIF(Data!Q206,Data!R206,"d"),0)</f>
        <v>10</v>
      </c>
      <c r="X206"/>
      <c r="Y206"/>
      <c r="Z206"/>
    </row>
    <row r="207" spans="2:26" ht="16" x14ac:dyDescent="0.2">
      <c r="B207" s="45"/>
      <c r="C207" s="80">
        <f t="shared" ca="1" si="7"/>
        <v>45959</v>
      </c>
      <c r="D207" s="81">
        <f ca="1">IF(Data!I207&lt;&gt;"",DATEDIF(Data!I207,C207,"m"),0)</f>
        <v>53</v>
      </c>
      <c r="E207" s="82">
        <f t="shared" ca="1" si="8"/>
        <v>4.416666666666667</v>
      </c>
      <c r="I207" s="81" t="str">
        <f>CONCATENATE(Data!M207,"-",Data!L207)</f>
        <v>CD-BA</v>
      </c>
      <c r="N207" s="81">
        <f>IF(Data!P207,DATEDIF(Data!O207,Data!P207,"d"),0)</f>
        <v>0</v>
      </c>
      <c r="O207" s="81">
        <f>IF(Data!M207="CD",1,0)</f>
        <v>1</v>
      </c>
      <c r="P207" s="81">
        <f>IF(Data!M207="CD",0,1)</f>
        <v>0</v>
      </c>
      <c r="Q207" s="81">
        <f>IF(Data!Q207&gt;Data!P207,DATEDIF(Data!P207,Data!Q207,"d"),0)</f>
        <v>1</v>
      </c>
      <c r="R207" s="81">
        <f>IF(Data!R207&gt;Data!Q207,DATEDIF(Data!Q207,Data!R207,"d"),0)</f>
        <v>13</v>
      </c>
      <c r="X207"/>
      <c r="Y207"/>
      <c r="Z207"/>
    </row>
    <row r="208" spans="2:26" ht="16" x14ac:dyDescent="0.2">
      <c r="B208" s="45"/>
      <c r="C208" s="80">
        <f t="shared" ca="1" si="7"/>
        <v>45959</v>
      </c>
      <c r="D208" s="81">
        <f ca="1">IF(Data!I208&lt;&gt;"",DATEDIF(Data!I208,C208,"m"),0)</f>
        <v>11</v>
      </c>
      <c r="E208" s="82">
        <f t="shared" ca="1" si="8"/>
        <v>0.91666666666666663</v>
      </c>
      <c r="I208" s="81" t="str">
        <f>CONCATENATE(Data!M208,"-",Data!L208)</f>
        <v>CD-BA</v>
      </c>
      <c r="N208" s="81">
        <f>IF(Data!P208,DATEDIF(Data!O208,Data!P208,"d"),0)</f>
        <v>7</v>
      </c>
      <c r="O208" s="81">
        <f>IF(Data!M208="CD",1,0)</f>
        <v>1</v>
      </c>
      <c r="P208" s="81">
        <f>IF(Data!M208="CD",0,1)</f>
        <v>0</v>
      </c>
      <c r="Q208" s="81">
        <f>IF(Data!Q208&gt;Data!P208,DATEDIF(Data!P208,Data!Q208,"d"),0)</f>
        <v>0</v>
      </c>
      <c r="R208" s="81">
        <f>IF(Data!R208&gt;Data!Q208,DATEDIF(Data!Q208,Data!R208,"d"),0)</f>
        <v>30</v>
      </c>
      <c r="X208"/>
      <c r="Y208"/>
      <c r="Z208"/>
    </row>
    <row r="209" spans="2:26" ht="16" x14ac:dyDescent="0.2">
      <c r="B209" s="45"/>
      <c r="C209" s="80">
        <f t="shared" ca="1" si="7"/>
        <v>45959</v>
      </c>
      <c r="D209" s="81">
        <f ca="1">IF(Data!I209&lt;&gt;"",DATEDIF(Data!I209,C209,"m"),0)</f>
        <v>7</v>
      </c>
      <c r="E209" s="82">
        <f t="shared" ca="1" si="8"/>
        <v>0.58333333333333337</v>
      </c>
      <c r="I209" s="81" t="str">
        <f>CONCATENATE(Data!M209,"-",Data!L209)</f>
        <v>CD-BA</v>
      </c>
      <c r="N209" s="81">
        <f>IF(Data!P209,DATEDIF(Data!O209,Data!P209,"d"),0)</f>
        <v>6</v>
      </c>
      <c r="O209" s="81">
        <f>IF(Data!M209="CD",1,0)</f>
        <v>1</v>
      </c>
      <c r="P209" s="81">
        <f>IF(Data!M209="CD",0,1)</f>
        <v>0</v>
      </c>
      <c r="Q209" s="81">
        <f>IF(Data!Q209&gt;Data!P209,DATEDIF(Data!P209,Data!Q209,"d"),0)</f>
        <v>0</v>
      </c>
      <c r="R209" s="81">
        <f>IF(Data!R209&gt;Data!Q209,DATEDIF(Data!Q209,Data!R209,"d"),0)</f>
        <v>7</v>
      </c>
      <c r="X209"/>
      <c r="Y209"/>
      <c r="Z209"/>
    </row>
    <row r="210" spans="2:26" ht="16" x14ac:dyDescent="0.2">
      <c r="B210" s="45"/>
      <c r="C210" s="80">
        <f t="shared" ca="1" si="7"/>
        <v>45959</v>
      </c>
      <c r="D210" s="81">
        <f ca="1">IF(Data!I210&lt;&gt;"",DATEDIF(Data!I210,C210,"m"),0)</f>
        <v>17</v>
      </c>
      <c r="E210" s="82">
        <f t="shared" ca="1" si="8"/>
        <v>1.4166666666666667</v>
      </c>
      <c r="I210" s="81" t="str">
        <f>CONCATENATE(Data!M210,"-",Data!L210)</f>
        <v>CD-BA</v>
      </c>
      <c r="N210" s="81">
        <f>IF(Data!P210,DATEDIF(Data!O210,Data!P210,"d"),0)</f>
        <v>5</v>
      </c>
      <c r="O210" s="81">
        <f>IF(Data!M210="CD",1,0)</f>
        <v>1</v>
      </c>
      <c r="P210" s="81">
        <f>IF(Data!M210="CD",0,1)</f>
        <v>0</v>
      </c>
      <c r="Q210" s="81">
        <f>IF(Data!Q210&gt;Data!P210,DATEDIF(Data!P210,Data!Q210,"d"),0)</f>
        <v>1</v>
      </c>
      <c r="R210" s="81">
        <f>IF(Data!R210&gt;Data!Q210,DATEDIF(Data!Q210,Data!R210,"d"),0)</f>
        <v>8</v>
      </c>
      <c r="X210"/>
      <c r="Y210"/>
      <c r="Z210"/>
    </row>
    <row r="211" spans="2:26" ht="16" x14ac:dyDescent="0.2">
      <c r="B211" s="45"/>
      <c r="C211" s="80">
        <f t="shared" ca="1" si="7"/>
        <v>45959</v>
      </c>
      <c r="D211" s="81">
        <f ca="1">IF(Data!I211&lt;&gt;"",DATEDIF(Data!I211,C211,"m"),0)</f>
        <v>99</v>
      </c>
      <c r="E211" s="82">
        <f t="shared" ca="1" si="8"/>
        <v>8.25</v>
      </c>
      <c r="I211" s="81" t="str">
        <f>CONCATENATE(Data!M211,"-",Data!L211)</f>
        <v>CD-GE</v>
      </c>
      <c r="N211" s="81">
        <f>IF(Data!P211,DATEDIF(Data!O211,Data!P211,"d"),0)</f>
        <v>7</v>
      </c>
      <c r="O211" s="81">
        <f>IF(Data!M211="CD",1,0)</f>
        <v>1</v>
      </c>
      <c r="P211" s="81">
        <f>IF(Data!M211="CD",0,1)</f>
        <v>0</v>
      </c>
      <c r="Q211" s="81">
        <f>IF(Data!Q211&gt;Data!P211,DATEDIF(Data!P211,Data!Q211,"d"),0)</f>
        <v>2</v>
      </c>
      <c r="R211" s="81">
        <f>IF(Data!R211&gt;Data!Q211,DATEDIF(Data!Q211,Data!R211,"d"),0)</f>
        <v>20</v>
      </c>
      <c r="X211"/>
      <c r="Y211"/>
      <c r="Z211"/>
    </row>
    <row r="212" spans="2:26" ht="16" x14ac:dyDescent="0.2">
      <c r="B212" s="45"/>
      <c r="C212" s="80">
        <f t="shared" ca="1" si="7"/>
        <v>45959</v>
      </c>
      <c r="D212" s="81">
        <f ca="1">IF(Data!I212&lt;&gt;"",DATEDIF(Data!I212,C212,"m"),0)</f>
        <v>35</v>
      </c>
      <c r="E212" s="82">
        <f t="shared" ca="1" si="8"/>
        <v>2.9166666666666665</v>
      </c>
      <c r="I212" s="81" t="str">
        <f>CONCATENATE(Data!M212,"-",Data!L212)</f>
        <v>CD-CH</v>
      </c>
      <c r="N212" s="81">
        <f>IF(Data!P212,DATEDIF(Data!O212,Data!P212,"d"),0)</f>
        <v>0</v>
      </c>
      <c r="O212" s="81">
        <f>IF(Data!M212="CD",1,0)</f>
        <v>1</v>
      </c>
      <c r="P212" s="81">
        <f>IF(Data!M212="CD",0,1)</f>
        <v>0</v>
      </c>
      <c r="Q212" s="81">
        <f>IF(Data!Q212&gt;Data!P212,DATEDIF(Data!P212,Data!Q212,"d"),0)</f>
        <v>1</v>
      </c>
      <c r="R212" s="81">
        <f>IF(Data!R212&gt;Data!Q212,DATEDIF(Data!Q212,Data!R212,"d"),0)</f>
        <v>7</v>
      </c>
      <c r="X212"/>
      <c r="Y212"/>
      <c r="Z212"/>
    </row>
    <row r="213" spans="2:26" ht="16" x14ac:dyDescent="0.2">
      <c r="B213" s="45"/>
      <c r="C213" s="80">
        <f t="shared" ca="1" si="7"/>
        <v>45959</v>
      </c>
      <c r="D213" s="81">
        <f ca="1">IF(Data!I213&lt;&gt;"",DATEDIF(Data!I213,C213,"m"),0)</f>
        <v>29</v>
      </c>
      <c r="E213" s="82">
        <f t="shared" ca="1" si="8"/>
        <v>2.4166666666666665</v>
      </c>
      <c r="I213" s="81" t="str">
        <f>CONCATENATE(Data!M213,"-",Data!L213)</f>
        <v>CD-VA</v>
      </c>
      <c r="N213" s="81">
        <f>IF(Data!P213,DATEDIF(Data!O213,Data!P213,"d"),0)</f>
        <v>7</v>
      </c>
      <c r="O213" s="81">
        <f>IF(Data!M213="CD",1,0)</f>
        <v>1</v>
      </c>
      <c r="P213" s="81">
        <f>IF(Data!M213="CD",0,1)</f>
        <v>0</v>
      </c>
      <c r="Q213" s="81">
        <f>IF(Data!Q213&gt;Data!P213,DATEDIF(Data!P213,Data!Q213,"d"),0)</f>
        <v>6</v>
      </c>
      <c r="R213" s="81">
        <f>IF(Data!R213&gt;Data!Q213,DATEDIF(Data!Q213,Data!R213,"d"),0)</f>
        <v>31</v>
      </c>
      <c r="X213"/>
      <c r="Y213"/>
      <c r="Z213"/>
    </row>
    <row r="214" spans="2:26" ht="16" x14ac:dyDescent="0.2">
      <c r="B214" s="45"/>
      <c r="C214" s="80">
        <f t="shared" ca="1" si="7"/>
        <v>45959</v>
      </c>
      <c r="D214" s="81">
        <f>IF(Data!I214&lt;&gt;"",DATEDIF(Data!I214,C214,"m"),0)</f>
        <v>0</v>
      </c>
      <c r="E214" s="82">
        <f t="shared" si="8"/>
        <v>0</v>
      </c>
      <c r="I214" s="81" t="str">
        <f>CONCATENATE(Data!M214,"-",Data!L214)</f>
        <v>ML-GE</v>
      </c>
      <c r="N214" s="81">
        <f>IF(Data!P214,DATEDIF(Data!O214,Data!P214,"d"),0)</f>
        <v>8</v>
      </c>
      <c r="O214" s="81">
        <f>IF(Data!M214="CD",1,0)</f>
        <v>0</v>
      </c>
      <c r="P214" s="81">
        <f>IF(Data!M214="CD",0,1)</f>
        <v>1</v>
      </c>
      <c r="Q214" s="81">
        <f>IF(Data!Q214&gt;Data!P214,DATEDIF(Data!P214,Data!Q214,"d"),0)</f>
        <v>2</v>
      </c>
      <c r="R214" s="81">
        <f>IF(Data!R214&gt;Data!Q214,DATEDIF(Data!Q214,Data!R214,"d"),0)</f>
        <v>38</v>
      </c>
      <c r="X214"/>
      <c r="Y214"/>
      <c r="Z214"/>
    </row>
    <row r="215" spans="2:26" ht="16" x14ac:dyDescent="0.2">
      <c r="B215" s="45"/>
      <c r="C215" s="80">
        <f t="shared" ca="1" si="7"/>
        <v>45959</v>
      </c>
      <c r="D215" s="81">
        <f ca="1">IF(Data!I215&lt;&gt;"",DATEDIF(Data!I215,C215,"m"),0)</f>
        <v>27</v>
      </c>
      <c r="E215" s="82">
        <f t="shared" ca="1" si="8"/>
        <v>2.25</v>
      </c>
      <c r="I215" s="81" t="str">
        <f>CONCATENATE(Data!M215,"-",Data!L215)</f>
        <v>CD-VA</v>
      </c>
      <c r="N215" s="81">
        <f>IF(Data!P215,DATEDIF(Data!O215,Data!P215,"d"),0)</f>
        <v>0</v>
      </c>
      <c r="O215" s="81">
        <f>IF(Data!M215="CD",1,0)</f>
        <v>1</v>
      </c>
      <c r="P215" s="81">
        <f>IF(Data!M215="CD",0,1)</f>
        <v>0</v>
      </c>
      <c r="Q215" s="81">
        <f>IF(Data!Q215&gt;Data!P215,DATEDIF(Data!P215,Data!Q215,"d"),0)</f>
        <v>0</v>
      </c>
      <c r="R215" s="81">
        <f>IF(Data!R215&gt;Data!Q215,DATEDIF(Data!Q215,Data!R215,"d"),0)</f>
        <v>0</v>
      </c>
      <c r="X215"/>
      <c r="Y215"/>
      <c r="Z215"/>
    </row>
    <row r="216" spans="2:26" ht="16" x14ac:dyDescent="0.2">
      <c r="B216" s="45"/>
      <c r="C216" s="80">
        <f t="shared" ca="1" si="7"/>
        <v>45959</v>
      </c>
      <c r="D216" s="81">
        <f ca="1">IF(Data!I216&lt;&gt;"",DATEDIF(Data!I216,C216,"m"),0)</f>
        <v>26</v>
      </c>
      <c r="E216" s="82">
        <f t="shared" ca="1" si="8"/>
        <v>2.1666666666666665</v>
      </c>
      <c r="I216" s="81" t="str">
        <f>CONCATENATE(Data!M216,"-",Data!L216)</f>
        <v>CD-VA</v>
      </c>
      <c r="N216" s="81">
        <f>IF(Data!P216,DATEDIF(Data!O216,Data!P216,"d"),0)</f>
        <v>8</v>
      </c>
      <c r="O216" s="81">
        <f>IF(Data!M216="CD",1,0)</f>
        <v>1</v>
      </c>
      <c r="P216" s="81">
        <f>IF(Data!M216="CD",0,1)</f>
        <v>0</v>
      </c>
      <c r="Q216" s="81">
        <f>IF(Data!Q216&gt;Data!P216,DATEDIF(Data!P216,Data!Q216,"d"),0)</f>
        <v>2</v>
      </c>
      <c r="R216" s="81">
        <f>IF(Data!R216&gt;Data!Q216,DATEDIF(Data!Q216,Data!R216,"d"),0)</f>
        <v>7</v>
      </c>
      <c r="X216"/>
      <c r="Y216"/>
      <c r="Z216"/>
    </row>
    <row r="217" spans="2:26" ht="16" x14ac:dyDescent="0.2">
      <c r="B217" s="45"/>
      <c r="C217" s="80">
        <f t="shared" ca="1" si="7"/>
        <v>45959</v>
      </c>
      <c r="D217" s="81">
        <f ca="1">IF(Data!I217&lt;&gt;"",DATEDIF(Data!I217,C217,"m"),0)</f>
        <v>21</v>
      </c>
      <c r="E217" s="82">
        <f t="shared" ca="1" si="8"/>
        <v>1.75</v>
      </c>
      <c r="I217" s="81" t="str">
        <f>CONCATENATE(Data!M217,"-",Data!L217)</f>
        <v>CD-VA</v>
      </c>
      <c r="N217" s="81">
        <f>IF(Data!P217,DATEDIF(Data!O217,Data!P217,"d"),0)</f>
        <v>13</v>
      </c>
      <c r="O217" s="81">
        <f>IF(Data!M217="CD",1,0)</f>
        <v>1</v>
      </c>
      <c r="P217" s="81">
        <f>IF(Data!M217="CD",0,1)</f>
        <v>0</v>
      </c>
      <c r="Q217" s="81">
        <f>IF(Data!Q217&gt;Data!P217,DATEDIF(Data!P217,Data!Q217,"d"),0)</f>
        <v>2</v>
      </c>
      <c r="R217" s="81">
        <f>IF(Data!R217&gt;Data!Q217,DATEDIF(Data!Q217,Data!R217,"d"),0)</f>
        <v>18</v>
      </c>
      <c r="X217"/>
      <c r="Y217"/>
      <c r="Z217"/>
    </row>
    <row r="218" spans="2:26" ht="16" x14ac:dyDescent="0.2">
      <c r="B218" s="45"/>
      <c r="C218" s="80">
        <f t="shared" ca="1" si="7"/>
        <v>45959</v>
      </c>
      <c r="D218" s="81">
        <f ca="1">IF(Data!I218&lt;&gt;"",DATEDIF(Data!I218,C218,"m"),0)</f>
        <v>81</v>
      </c>
      <c r="E218" s="82">
        <f t="shared" ca="1" si="8"/>
        <v>6.75</v>
      </c>
      <c r="I218" s="81" t="str">
        <f>CONCATENATE(Data!M218,"-",Data!L218)</f>
        <v>CD-BA</v>
      </c>
      <c r="N218" s="81">
        <f>IF(Data!P218,DATEDIF(Data!O218,Data!P218,"d"),0)</f>
        <v>12</v>
      </c>
      <c r="O218" s="81">
        <f>IF(Data!M218="CD",1,0)</f>
        <v>1</v>
      </c>
      <c r="P218" s="81">
        <f>IF(Data!M218="CD",0,1)</f>
        <v>0</v>
      </c>
      <c r="Q218" s="81">
        <f>IF(Data!Q218&gt;Data!P218,DATEDIF(Data!P218,Data!Q218,"d"),0)</f>
        <v>2</v>
      </c>
      <c r="R218" s="81">
        <f>IF(Data!R218&gt;Data!Q218,DATEDIF(Data!Q218,Data!R218,"d"),0)</f>
        <v>28</v>
      </c>
      <c r="X218"/>
      <c r="Y218"/>
      <c r="Z218"/>
    </row>
    <row r="219" spans="2:26" ht="16" x14ac:dyDescent="0.2">
      <c r="B219" s="45"/>
      <c r="C219" s="80">
        <f t="shared" ca="1" si="7"/>
        <v>45959</v>
      </c>
      <c r="D219" s="81">
        <f ca="1">IF(Data!I219&lt;&gt;"",DATEDIF(Data!I219,C219,"m"),0)</f>
        <v>196</v>
      </c>
      <c r="E219" s="82">
        <f t="shared" ca="1" si="8"/>
        <v>16.333333333333332</v>
      </c>
      <c r="I219" s="81" t="str">
        <f>CONCATENATE(Data!M219,"-",Data!L219)</f>
        <v>CD-VA</v>
      </c>
      <c r="N219" s="81">
        <f>IF(Data!P219,DATEDIF(Data!O219,Data!P219,"d"),0)</f>
        <v>0</v>
      </c>
      <c r="O219" s="81">
        <f>IF(Data!M219="CD",1,0)</f>
        <v>1</v>
      </c>
      <c r="P219" s="81">
        <f>IF(Data!M219="CD",0,1)</f>
        <v>0</v>
      </c>
      <c r="Q219" s="81">
        <f>IF(Data!Q219&gt;Data!P219,DATEDIF(Data!P219,Data!Q219,"d"),0)</f>
        <v>0</v>
      </c>
      <c r="R219" s="81">
        <f>IF(Data!R219&gt;Data!Q219,DATEDIF(Data!Q219,Data!R219,"d"),0)</f>
        <v>0</v>
      </c>
      <c r="X219"/>
      <c r="Y219"/>
      <c r="Z219"/>
    </row>
    <row r="220" spans="2:26" ht="16" x14ac:dyDescent="0.2">
      <c r="B220" s="45"/>
      <c r="C220" s="80">
        <f t="shared" ca="1" si="7"/>
        <v>45959</v>
      </c>
      <c r="D220" s="81">
        <f ca="1">IF(Data!I220&lt;&gt;"",DATEDIF(Data!I220,C220,"m"),0)</f>
        <v>91</v>
      </c>
      <c r="E220" s="82">
        <f t="shared" ca="1" si="8"/>
        <v>7.583333333333333</v>
      </c>
      <c r="I220" s="81" t="str">
        <f>CONCATENATE(Data!M220,"-",Data!L220)</f>
        <v>CD-BA</v>
      </c>
      <c r="N220" s="81">
        <f>IF(Data!P220,DATEDIF(Data!O220,Data!P220,"d"),0)</f>
        <v>0</v>
      </c>
      <c r="O220" s="81">
        <f>IF(Data!M220="CD",1,0)</f>
        <v>1</v>
      </c>
      <c r="P220" s="81">
        <f>IF(Data!M220="CD",0,1)</f>
        <v>0</v>
      </c>
      <c r="Q220" s="81">
        <f>IF(Data!Q220&gt;Data!P220,DATEDIF(Data!P220,Data!Q220,"d"),0)</f>
        <v>16</v>
      </c>
      <c r="R220" s="81">
        <f>IF(Data!R220&gt;Data!Q220,DATEDIF(Data!Q220,Data!R220,"d"),0)</f>
        <v>26</v>
      </c>
      <c r="X220"/>
      <c r="Y220"/>
      <c r="Z220"/>
    </row>
    <row r="221" spans="2:26" ht="16" x14ac:dyDescent="0.2">
      <c r="B221" s="45"/>
      <c r="C221" s="80">
        <f t="shared" ca="1" si="7"/>
        <v>45959</v>
      </c>
      <c r="D221" s="81">
        <f ca="1">IF(Data!I221&lt;&gt;"",DATEDIF(Data!I221,C221,"m"),0)</f>
        <v>153</v>
      </c>
      <c r="E221" s="82">
        <f t="shared" ca="1" si="8"/>
        <v>12.75</v>
      </c>
      <c r="I221" s="81" t="str">
        <f>CONCATENATE(Data!M221,"-",Data!L221)</f>
        <v>CD-VA</v>
      </c>
      <c r="N221" s="81">
        <f>IF(Data!P221,DATEDIF(Data!O221,Data!P221,"d"),0)</f>
        <v>0</v>
      </c>
      <c r="O221" s="81">
        <f>IF(Data!M221="CD",1,0)</f>
        <v>1</v>
      </c>
      <c r="P221" s="81">
        <f>IF(Data!M221="CD",0,1)</f>
        <v>0</v>
      </c>
      <c r="Q221" s="81">
        <f>IF(Data!Q221&gt;Data!P221,DATEDIF(Data!P221,Data!Q221,"d"),0)</f>
        <v>0</v>
      </c>
      <c r="R221" s="81">
        <f>IF(Data!R221&gt;Data!Q221,DATEDIF(Data!Q221,Data!R221,"d"),0)</f>
        <v>0</v>
      </c>
      <c r="X221"/>
      <c r="Y221"/>
      <c r="Z221"/>
    </row>
    <row r="222" spans="2:26" ht="16" x14ac:dyDescent="0.2">
      <c r="B222" s="45"/>
      <c r="C222" s="80">
        <f t="shared" ca="1" si="7"/>
        <v>45959</v>
      </c>
      <c r="D222" s="81">
        <f ca="1">IF(Data!I222&lt;&gt;"",DATEDIF(Data!I222,C222,"m"),0)</f>
        <v>50</v>
      </c>
      <c r="E222" s="82">
        <f t="shared" ca="1" si="8"/>
        <v>4.166666666666667</v>
      </c>
      <c r="I222" s="81" t="str">
        <f>CONCATENATE(Data!M222,"-",Data!L222)</f>
        <v>CI-GE</v>
      </c>
      <c r="N222" s="81">
        <f>IF(Data!P222,DATEDIF(Data!O222,Data!P222,"d"),0)</f>
        <v>8</v>
      </c>
      <c r="O222" s="81">
        <f>IF(Data!M222="CD",1,0)</f>
        <v>0</v>
      </c>
      <c r="P222" s="81">
        <f>IF(Data!M222="CD",0,1)</f>
        <v>1</v>
      </c>
      <c r="Q222" s="81">
        <f>IF(Data!Q222&gt;Data!P222,DATEDIF(Data!P222,Data!Q222,"d"),0)</f>
        <v>14</v>
      </c>
      <c r="R222" s="81">
        <f>IF(Data!R222&gt;Data!Q222,DATEDIF(Data!Q222,Data!R222,"d"),0)</f>
        <v>23</v>
      </c>
      <c r="X222"/>
      <c r="Y222"/>
      <c r="Z222"/>
    </row>
    <row r="223" spans="2:26" ht="16" x14ac:dyDescent="0.2">
      <c r="B223" s="45"/>
      <c r="C223" s="80">
        <f t="shared" ca="1" si="7"/>
        <v>45959</v>
      </c>
      <c r="D223" s="81">
        <f ca="1">IF(Data!I223&lt;&gt;"",DATEDIF(Data!I223,C223,"m"),0)</f>
        <v>20</v>
      </c>
      <c r="E223" s="82">
        <f t="shared" ca="1" si="8"/>
        <v>1.6666666666666667</v>
      </c>
      <c r="I223" s="81" t="str">
        <f>CONCATENATE(Data!M223,"-",Data!L223)</f>
        <v>CD-BA</v>
      </c>
      <c r="N223" s="81">
        <f>IF(Data!P223,DATEDIF(Data!O223,Data!P223,"d"),0)</f>
        <v>14</v>
      </c>
      <c r="O223" s="81">
        <f>IF(Data!M223="CD",1,0)</f>
        <v>1</v>
      </c>
      <c r="P223" s="81">
        <f>IF(Data!M223="CD",0,1)</f>
        <v>0</v>
      </c>
      <c r="Q223" s="81">
        <f>IF(Data!Q223&gt;Data!P223,DATEDIF(Data!P223,Data!Q223,"d"),0)</f>
        <v>21</v>
      </c>
      <c r="R223" s="81">
        <f>IF(Data!R223&gt;Data!Q223,DATEDIF(Data!Q223,Data!R223,"d"),0)</f>
        <v>29</v>
      </c>
      <c r="X223"/>
      <c r="Y223"/>
      <c r="Z223"/>
    </row>
    <row r="224" spans="2:26" ht="16" x14ac:dyDescent="0.2">
      <c r="B224" s="45"/>
      <c r="C224" s="80">
        <f t="shared" ca="1" si="7"/>
        <v>45959</v>
      </c>
      <c r="D224" s="81">
        <f ca="1">IF(Data!I224&lt;&gt;"",DATEDIF(Data!I224,C224,"m"),0)</f>
        <v>104</v>
      </c>
      <c r="E224" s="82">
        <f t="shared" ca="1" si="8"/>
        <v>8.6666666666666661</v>
      </c>
      <c r="I224" s="81" t="str">
        <f>CONCATENATE(Data!M224,"-",Data!L224)</f>
        <v>CD-VA</v>
      </c>
      <c r="N224" s="81">
        <f>IF(Data!P224,DATEDIF(Data!O224,Data!P224,"d"),0)</f>
        <v>0</v>
      </c>
      <c r="O224" s="81">
        <f>IF(Data!M224="CD",1,0)</f>
        <v>1</v>
      </c>
      <c r="P224" s="81">
        <f>IF(Data!M224="CD",0,1)</f>
        <v>0</v>
      </c>
      <c r="Q224" s="81">
        <f>IF(Data!Q224&gt;Data!P224,DATEDIF(Data!P224,Data!Q224,"d"),0)</f>
        <v>0</v>
      </c>
      <c r="R224" s="81">
        <f>IF(Data!R224&gt;Data!Q224,DATEDIF(Data!Q224,Data!R224,"d"),0)</f>
        <v>0</v>
      </c>
      <c r="X224"/>
      <c r="Y224"/>
      <c r="Z224"/>
    </row>
    <row r="225" spans="2:26" ht="16" x14ac:dyDescent="0.2">
      <c r="B225" s="45"/>
      <c r="C225" s="80">
        <f t="shared" ca="1" si="7"/>
        <v>45959</v>
      </c>
      <c r="D225" s="81">
        <f>IF(Data!I225&lt;&gt;"",DATEDIF(Data!I225,C225,"m"),0)</f>
        <v>0</v>
      </c>
      <c r="E225" s="82">
        <f t="shared" si="8"/>
        <v>0</v>
      </c>
      <c r="I225" s="81" t="str">
        <f>CONCATENATE(Data!M225,"-",Data!L225)</f>
        <v>CD-BA</v>
      </c>
      <c r="N225" s="81">
        <f>IF(Data!P225,DATEDIF(Data!O225,Data!P225,"d"),0)</f>
        <v>3</v>
      </c>
      <c r="O225" s="81">
        <f>IF(Data!M225="CD",1,0)</f>
        <v>1</v>
      </c>
      <c r="P225" s="81">
        <f>IF(Data!M225="CD",0,1)</f>
        <v>0</v>
      </c>
      <c r="Q225" s="81">
        <f>IF(Data!Q225&gt;Data!P225,DATEDIF(Data!P225,Data!Q225,"d"),0)</f>
        <v>15</v>
      </c>
      <c r="R225" s="81">
        <f>IF(Data!R225&gt;Data!Q225,DATEDIF(Data!Q225,Data!R225,"d"),0)</f>
        <v>15</v>
      </c>
      <c r="X225"/>
      <c r="Y225"/>
      <c r="Z225"/>
    </row>
    <row r="226" spans="2:26" ht="16" x14ac:dyDescent="0.2">
      <c r="B226" s="45"/>
      <c r="C226" s="80">
        <f t="shared" ca="1" si="7"/>
        <v>45959</v>
      </c>
      <c r="D226" s="81">
        <f ca="1">IF(Data!I226&lt;&gt;"",DATEDIF(Data!I226,C226,"m"),0)</f>
        <v>13</v>
      </c>
      <c r="E226" s="82">
        <f t="shared" ca="1" si="8"/>
        <v>1.0833333333333333</v>
      </c>
      <c r="I226" s="81" t="str">
        <f>CONCATENATE(Data!M226,"-",Data!L226)</f>
        <v>CI-BA</v>
      </c>
      <c r="N226" s="81">
        <f>IF(Data!P226,DATEDIF(Data!O226,Data!P226,"d"),0)</f>
        <v>4</v>
      </c>
      <c r="O226" s="81">
        <f>IF(Data!M226="CD",1,0)</f>
        <v>0</v>
      </c>
      <c r="P226" s="81">
        <f>IF(Data!M226="CD",0,1)</f>
        <v>1</v>
      </c>
      <c r="Q226" s="81">
        <f>IF(Data!Q226&gt;Data!P226,DATEDIF(Data!P226,Data!Q226,"d"),0)</f>
        <v>7</v>
      </c>
      <c r="R226" s="81">
        <f>IF(Data!R226&gt;Data!Q226,DATEDIF(Data!Q226,Data!R226,"d"),0)</f>
        <v>22</v>
      </c>
      <c r="X226"/>
      <c r="Y226"/>
      <c r="Z226"/>
    </row>
    <row r="227" spans="2:26" ht="16" x14ac:dyDescent="0.2">
      <c r="B227" s="45"/>
      <c r="C227" s="80">
        <f t="shared" ca="1" si="7"/>
        <v>45959</v>
      </c>
      <c r="D227" s="81">
        <f ca="1">IF(Data!I227&lt;&gt;"",DATEDIF(Data!I227,C227,"m"),0)</f>
        <v>49</v>
      </c>
      <c r="E227" s="82">
        <f t="shared" ca="1" si="8"/>
        <v>4.083333333333333</v>
      </c>
      <c r="I227" s="81" t="str">
        <f>CONCATENATE(Data!M227,"-",Data!L227)</f>
        <v>CD-VA</v>
      </c>
      <c r="N227" s="81">
        <f>IF(Data!P227,DATEDIF(Data!O227,Data!P227,"d"),0)</f>
        <v>19</v>
      </c>
      <c r="O227" s="81">
        <f>IF(Data!M227="CD",1,0)</f>
        <v>1</v>
      </c>
      <c r="P227" s="81">
        <f>IF(Data!M227="CD",0,1)</f>
        <v>0</v>
      </c>
      <c r="Q227" s="81">
        <f>IF(Data!Q227&gt;Data!P227,DATEDIF(Data!P227,Data!Q227,"d"),0)</f>
        <v>2</v>
      </c>
      <c r="R227" s="81">
        <f>IF(Data!R227&gt;Data!Q227,DATEDIF(Data!Q227,Data!R227,"d"),0)</f>
        <v>18</v>
      </c>
      <c r="X227"/>
      <c r="Y227"/>
      <c r="Z227"/>
    </row>
    <row r="228" spans="2:26" ht="16" x14ac:dyDescent="0.2">
      <c r="B228" s="45"/>
      <c r="C228" s="80">
        <f t="shared" ca="1" si="7"/>
        <v>45959</v>
      </c>
      <c r="D228" s="81">
        <f ca="1">IF(Data!I228&lt;&gt;"",DATEDIF(Data!I228,C228,"m"),0)</f>
        <v>56</v>
      </c>
      <c r="E228" s="82">
        <f t="shared" ca="1" si="8"/>
        <v>4.666666666666667</v>
      </c>
      <c r="I228" s="81" t="str">
        <f>CONCATENATE(Data!M228,"-",Data!L228)</f>
        <v>CD-GE</v>
      </c>
      <c r="N228" s="81">
        <f>IF(Data!P228,DATEDIF(Data!O228,Data!P228,"d"),0)</f>
        <v>1</v>
      </c>
      <c r="O228" s="81">
        <f>IF(Data!M228="CD",1,0)</f>
        <v>1</v>
      </c>
      <c r="P228" s="81">
        <f>IF(Data!M228="CD",0,1)</f>
        <v>0</v>
      </c>
      <c r="Q228" s="81">
        <f>IF(Data!Q228&gt;Data!P228,DATEDIF(Data!P228,Data!Q228,"d"),0)</f>
        <v>18</v>
      </c>
      <c r="R228" s="81">
        <f>IF(Data!R228&gt;Data!Q228,DATEDIF(Data!Q228,Data!R228,"d"),0)</f>
        <v>21</v>
      </c>
      <c r="X228"/>
      <c r="Y228"/>
      <c r="Z228"/>
    </row>
    <row r="229" spans="2:26" ht="16" x14ac:dyDescent="0.2">
      <c r="B229" s="45"/>
      <c r="C229" s="80">
        <f t="shared" ca="1" si="7"/>
        <v>45959</v>
      </c>
      <c r="D229" s="81">
        <f ca="1">IF(Data!I229&lt;&gt;"",DATEDIF(Data!I229,C229,"m"),0)</f>
        <v>63</v>
      </c>
      <c r="E229" s="82">
        <f t="shared" ca="1" si="8"/>
        <v>5.25</v>
      </c>
      <c r="I229" s="81" t="str">
        <f>CONCATENATE(Data!M229,"-",Data!L229)</f>
        <v>CD-GE</v>
      </c>
      <c r="N229" s="81">
        <f>IF(Data!P229,DATEDIF(Data!O229,Data!P229,"d"),0)</f>
        <v>2</v>
      </c>
      <c r="O229" s="81">
        <f>IF(Data!M229="CD",1,0)</f>
        <v>1</v>
      </c>
      <c r="P229" s="81">
        <f>IF(Data!M229="CD",0,1)</f>
        <v>0</v>
      </c>
      <c r="Q229" s="81">
        <f>IF(Data!Q229&gt;Data!P229,DATEDIF(Data!P229,Data!Q229,"d"),0)</f>
        <v>18</v>
      </c>
      <c r="R229" s="81">
        <f>IF(Data!R229&gt;Data!Q229,DATEDIF(Data!Q229,Data!R229,"d"),0)</f>
        <v>14</v>
      </c>
      <c r="X229"/>
      <c r="Y229"/>
      <c r="Z229"/>
    </row>
    <row r="230" spans="2:26" ht="16" x14ac:dyDescent="0.2">
      <c r="B230" s="45"/>
      <c r="C230" s="80">
        <f t="shared" ca="1" si="7"/>
        <v>45959</v>
      </c>
      <c r="D230" s="81">
        <f ca="1">IF(Data!I230&lt;&gt;"",DATEDIF(Data!I230,C230,"m"),0)</f>
        <v>22</v>
      </c>
      <c r="E230" s="82">
        <f t="shared" ca="1" si="8"/>
        <v>1.8333333333333333</v>
      </c>
      <c r="I230" s="81" t="str">
        <f>CONCATENATE(Data!M230,"-",Data!L230)</f>
        <v>CD-VA</v>
      </c>
      <c r="N230" s="81">
        <f>IF(Data!P230,DATEDIF(Data!O230,Data!P230,"d"),0)</f>
        <v>29</v>
      </c>
      <c r="O230" s="81">
        <f>IF(Data!M230="CD",1,0)</f>
        <v>1</v>
      </c>
      <c r="P230" s="81">
        <f>IF(Data!M230="CD",0,1)</f>
        <v>0</v>
      </c>
      <c r="Q230" s="81">
        <f>IF(Data!Q230&gt;Data!P230,DATEDIF(Data!P230,Data!Q230,"d"),0)</f>
        <v>6</v>
      </c>
      <c r="R230" s="81">
        <f>IF(Data!R230&gt;Data!Q230,DATEDIF(Data!Q230,Data!R230,"d"),0)</f>
        <v>36</v>
      </c>
      <c r="X230"/>
      <c r="Y230"/>
      <c r="Z230"/>
    </row>
    <row r="231" spans="2:26" ht="16" x14ac:dyDescent="0.2">
      <c r="B231" s="45"/>
      <c r="C231" s="80">
        <f t="shared" ca="1" si="7"/>
        <v>45959</v>
      </c>
      <c r="D231" s="81">
        <f ca="1">IF(Data!I231&lt;&gt;"",DATEDIF(Data!I231,C231,"m"),0)</f>
        <v>60</v>
      </c>
      <c r="E231" s="82">
        <f t="shared" ca="1" si="8"/>
        <v>5</v>
      </c>
      <c r="I231" s="81" t="str">
        <f>CONCATENATE(Data!M231,"-",Data!L231)</f>
        <v>CD-VA</v>
      </c>
      <c r="N231" s="81">
        <f>IF(Data!P231,DATEDIF(Data!O231,Data!P231,"d"),0)</f>
        <v>20</v>
      </c>
      <c r="O231" s="81">
        <f>IF(Data!M231="CD",1,0)</f>
        <v>1</v>
      </c>
      <c r="P231" s="81">
        <f>IF(Data!M231="CD",0,1)</f>
        <v>0</v>
      </c>
      <c r="Q231" s="81">
        <f>IF(Data!Q231&gt;Data!P231,DATEDIF(Data!P231,Data!Q231,"d"),0)</f>
        <v>41</v>
      </c>
      <c r="R231" s="81">
        <f>IF(Data!R231&gt;Data!Q231,DATEDIF(Data!Q231,Data!R231,"d"),0)</f>
        <v>0</v>
      </c>
      <c r="X231"/>
      <c r="Y231"/>
      <c r="Z231"/>
    </row>
    <row r="232" spans="2:26" ht="16" x14ac:dyDescent="0.2">
      <c r="B232" s="45"/>
      <c r="C232" s="80">
        <f t="shared" ca="1" si="7"/>
        <v>45959</v>
      </c>
      <c r="D232" s="81">
        <f>IF(Data!I232&lt;&gt;"",DATEDIF(Data!I232,C232,"m"),0)</f>
        <v>0</v>
      </c>
      <c r="E232" s="82">
        <f t="shared" si="8"/>
        <v>0</v>
      </c>
      <c r="I232" s="81" t="str">
        <f>CONCATENATE(Data!M232,"-",Data!L232)</f>
        <v>CD-BA</v>
      </c>
      <c r="N232" s="81">
        <f>IF(Data!P232,DATEDIF(Data!O232,Data!P232,"d"),0)</f>
        <v>19</v>
      </c>
      <c r="O232" s="81">
        <f>IF(Data!M232="CD",1,0)</f>
        <v>1</v>
      </c>
      <c r="P232" s="81">
        <f>IF(Data!M232="CD",0,1)</f>
        <v>0</v>
      </c>
      <c r="Q232" s="81">
        <f>IF(Data!Q232&gt;Data!P232,DATEDIF(Data!P232,Data!Q232,"d"),0)</f>
        <v>1</v>
      </c>
      <c r="R232" s="81">
        <f>IF(Data!R232&gt;Data!Q232,DATEDIF(Data!Q232,Data!R232,"d"),0)</f>
        <v>15</v>
      </c>
      <c r="X232"/>
      <c r="Y232"/>
      <c r="Z232"/>
    </row>
    <row r="233" spans="2:26" ht="16" x14ac:dyDescent="0.2">
      <c r="B233" s="45"/>
      <c r="C233" s="80">
        <f t="shared" ca="1" si="7"/>
        <v>45959</v>
      </c>
      <c r="D233" s="81">
        <f ca="1">IF(Data!I233&lt;&gt;"",DATEDIF(Data!I233,C233,"m"),0)</f>
        <v>102</v>
      </c>
      <c r="E233" s="82">
        <f t="shared" ca="1" si="8"/>
        <v>8.5</v>
      </c>
      <c r="I233" s="81" t="str">
        <f>CONCATENATE(Data!M233,"-",Data!L233)</f>
        <v>CD-GE</v>
      </c>
      <c r="N233" s="81">
        <f>IF(Data!P233,DATEDIF(Data!O233,Data!P233,"d"),0)</f>
        <v>134</v>
      </c>
      <c r="O233" s="81">
        <f>IF(Data!M233="CD",1,0)</f>
        <v>1</v>
      </c>
      <c r="P233" s="81">
        <f>IF(Data!M233="CD",0,1)</f>
        <v>0</v>
      </c>
      <c r="Q233" s="81">
        <f>IF(Data!Q233&gt;Data!P233,DATEDIF(Data!P233,Data!Q233,"d"),0)</f>
        <v>0</v>
      </c>
      <c r="R233" s="81">
        <f>IF(Data!R233&gt;Data!Q233,DATEDIF(Data!Q233,Data!R233,"d"),0)</f>
        <v>27</v>
      </c>
      <c r="X233"/>
      <c r="Y233"/>
      <c r="Z233"/>
    </row>
    <row r="234" spans="2:26" ht="16" x14ac:dyDescent="0.2">
      <c r="B234" s="45"/>
      <c r="C234" s="80">
        <f t="shared" ca="1" si="7"/>
        <v>45959</v>
      </c>
      <c r="D234" s="81">
        <f ca="1">IF(Data!I234&lt;&gt;"",DATEDIF(Data!I234,C234,"m"),0)</f>
        <v>53</v>
      </c>
      <c r="E234" s="82">
        <f t="shared" ca="1" si="8"/>
        <v>4.416666666666667</v>
      </c>
      <c r="I234" s="81" t="str">
        <f>CONCATENATE(Data!M234,"-",Data!L234)</f>
        <v>CD-CH</v>
      </c>
      <c r="N234" s="81">
        <f>IF(Data!P234,DATEDIF(Data!O234,Data!P234,"d"),0)</f>
        <v>0</v>
      </c>
      <c r="O234" s="81">
        <f>IF(Data!M234="CD",1,0)</f>
        <v>1</v>
      </c>
      <c r="P234" s="81">
        <f>IF(Data!M234="CD",0,1)</f>
        <v>0</v>
      </c>
      <c r="Q234" s="81">
        <f>IF(Data!Q234&gt;Data!P234,DATEDIF(Data!P234,Data!Q234,"d"),0)</f>
        <v>17</v>
      </c>
      <c r="R234" s="81">
        <f>IF(Data!R234&gt;Data!Q234,DATEDIF(Data!Q234,Data!R234,"d"),0)</f>
        <v>9</v>
      </c>
      <c r="X234"/>
      <c r="Y234"/>
      <c r="Z234"/>
    </row>
    <row r="235" spans="2:26" ht="16" x14ac:dyDescent="0.2">
      <c r="B235" s="45"/>
      <c r="C235" s="80">
        <f t="shared" ca="1" si="7"/>
        <v>45959</v>
      </c>
      <c r="D235" s="81">
        <f>IF(Data!I235&lt;&gt;"",DATEDIF(Data!I235,C235,"m"),0)</f>
        <v>0</v>
      </c>
      <c r="E235" s="82">
        <f t="shared" si="8"/>
        <v>0</v>
      </c>
      <c r="I235" s="81" t="str">
        <f>CONCATENATE(Data!M235,"-",Data!L235)</f>
        <v>CD-GE</v>
      </c>
      <c r="N235" s="81">
        <f>IF(Data!P235,DATEDIF(Data!O235,Data!P235,"d"),0)</f>
        <v>4</v>
      </c>
      <c r="O235" s="81">
        <f>IF(Data!M235="CD",1,0)</f>
        <v>1</v>
      </c>
      <c r="P235" s="81">
        <f>IF(Data!M235="CD",0,1)</f>
        <v>0</v>
      </c>
      <c r="Q235" s="81">
        <f>IF(Data!Q235&gt;Data!P235,DATEDIF(Data!P235,Data!Q235,"d"),0)</f>
        <v>21</v>
      </c>
      <c r="R235" s="81">
        <f>IF(Data!R235&gt;Data!Q235,DATEDIF(Data!Q235,Data!R235,"d"),0)</f>
        <v>20</v>
      </c>
      <c r="X235"/>
      <c r="Y235"/>
      <c r="Z235"/>
    </row>
    <row r="236" spans="2:26" ht="16" x14ac:dyDescent="0.2">
      <c r="B236" s="45"/>
      <c r="C236" s="80">
        <f t="shared" ca="1" si="7"/>
        <v>45959</v>
      </c>
      <c r="D236" s="81">
        <f ca="1">IF(Data!I236&lt;&gt;"",DATEDIF(Data!I236,C236,"m"),0)</f>
        <v>136</v>
      </c>
      <c r="E236" s="82">
        <f t="shared" ca="1" si="8"/>
        <v>11.333333333333334</v>
      </c>
      <c r="I236" s="81" t="str">
        <f>CONCATENATE(Data!M236,"-",Data!L236)</f>
        <v>CI-VA</v>
      </c>
      <c r="N236" s="81">
        <f>IF(Data!P236,DATEDIF(Data!O236,Data!P236,"d"),0)</f>
        <v>26</v>
      </c>
      <c r="O236" s="81">
        <f>IF(Data!M236="CD",1,0)</f>
        <v>0</v>
      </c>
      <c r="P236" s="81">
        <f>IF(Data!M236="CD",0,1)</f>
        <v>1</v>
      </c>
      <c r="Q236" s="81">
        <f>IF(Data!Q236&gt;Data!P236,DATEDIF(Data!P236,Data!Q236,"d"),0)</f>
        <v>6</v>
      </c>
      <c r="R236" s="81">
        <f>IF(Data!R236&gt;Data!Q236,DATEDIF(Data!Q236,Data!R236,"d"),0)</f>
        <v>31</v>
      </c>
      <c r="X236"/>
      <c r="Y236"/>
      <c r="Z236"/>
    </row>
    <row r="237" spans="2:26" ht="16" x14ac:dyDescent="0.2">
      <c r="B237" s="45"/>
      <c r="C237" s="80">
        <f t="shared" ca="1" si="7"/>
        <v>45959</v>
      </c>
      <c r="D237" s="81">
        <f ca="1">IF(Data!I237&lt;&gt;"",DATEDIF(Data!I237,C237,"m"),0)</f>
        <v>32</v>
      </c>
      <c r="E237" s="82">
        <f t="shared" ca="1" si="8"/>
        <v>2.6666666666666665</v>
      </c>
      <c r="I237" s="81" t="str">
        <f>CONCATENATE(Data!M237,"-",Data!L237)</f>
        <v>CD-GE</v>
      </c>
      <c r="N237" s="81">
        <f>IF(Data!P237,DATEDIF(Data!O237,Data!P237,"d"),0)</f>
        <v>1</v>
      </c>
      <c r="O237" s="81">
        <f>IF(Data!M237="CD",1,0)</f>
        <v>1</v>
      </c>
      <c r="P237" s="81">
        <f>IF(Data!M237="CD",0,1)</f>
        <v>0</v>
      </c>
      <c r="Q237" s="81">
        <f>IF(Data!Q237&gt;Data!P237,DATEDIF(Data!P237,Data!Q237,"d"),0)</f>
        <v>26</v>
      </c>
      <c r="R237" s="81">
        <f>IF(Data!R237&gt;Data!Q237,DATEDIF(Data!Q237,Data!R237,"d"),0)</f>
        <v>19</v>
      </c>
      <c r="X237"/>
      <c r="Y237"/>
      <c r="Z237"/>
    </row>
    <row r="238" spans="2:26" ht="16" x14ac:dyDescent="0.2">
      <c r="B238" s="45"/>
      <c r="C238" s="80">
        <f t="shared" ca="1" si="7"/>
        <v>45959</v>
      </c>
      <c r="D238" s="81">
        <f ca="1">IF(Data!I238&lt;&gt;"",DATEDIF(Data!I238,C238,"m"),0)</f>
        <v>64</v>
      </c>
      <c r="E238" s="82">
        <f t="shared" ca="1" si="8"/>
        <v>5.333333333333333</v>
      </c>
      <c r="I238" s="81" t="str">
        <f>CONCATENATE(Data!M238,"-",Data!L238)</f>
        <v>CD-BA</v>
      </c>
      <c r="N238" s="81">
        <f>IF(Data!P238,DATEDIF(Data!O238,Data!P238,"d"),0)</f>
        <v>1</v>
      </c>
      <c r="O238" s="81">
        <f>IF(Data!M238="CD",1,0)</f>
        <v>1</v>
      </c>
      <c r="P238" s="81">
        <f>IF(Data!M238="CD",0,1)</f>
        <v>0</v>
      </c>
      <c r="Q238" s="81">
        <f>IF(Data!Q238&gt;Data!P238,DATEDIF(Data!P238,Data!Q238,"d"),0)</f>
        <v>18</v>
      </c>
      <c r="R238" s="81">
        <f>IF(Data!R238&gt;Data!Q238,DATEDIF(Data!Q238,Data!R238,"d"),0)</f>
        <v>16</v>
      </c>
      <c r="X238"/>
      <c r="Y238"/>
      <c r="Z238"/>
    </row>
    <row r="239" spans="2:26" ht="16" x14ac:dyDescent="0.2">
      <c r="B239" s="45"/>
      <c r="C239" s="80">
        <f t="shared" ca="1" si="7"/>
        <v>45959</v>
      </c>
      <c r="D239" s="81">
        <f>IF(Data!I239&lt;&gt;"",DATEDIF(Data!I239,C239,"m"),0)</f>
        <v>0</v>
      </c>
      <c r="E239" s="82">
        <f t="shared" si="8"/>
        <v>0</v>
      </c>
      <c r="I239" s="81" t="str">
        <f>CONCATENATE(Data!M239,"-",Data!L239)</f>
        <v>CD-GE</v>
      </c>
      <c r="N239" s="81">
        <f>IF(Data!P239,DATEDIF(Data!O239,Data!P239,"d"),0)</f>
        <v>3</v>
      </c>
      <c r="O239" s="81">
        <f>IF(Data!M239="CD",1,0)</f>
        <v>1</v>
      </c>
      <c r="P239" s="81">
        <f>IF(Data!M239="CD",0,1)</f>
        <v>0</v>
      </c>
      <c r="Q239" s="81">
        <f>IF(Data!Q239&gt;Data!P239,DATEDIF(Data!P239,Data!Q239,"d"),0)</f>
        <v>31</v>
      </c>
      <c r="R239" s="81">
        <f>IF(Data!R239&gt;Data!Q239,DATEDIF(Data!Q239,Data!R239,"d"),0)</f>
        <v>15</v>
      </c>
      <c r="X239"/>
      <c r="Y239"/>
      <c r="Z239"/>
    </row>
    <row r="240" spans="2:26" ht="16" x14ac:dyDescent="0.2">
      <c r="B240" s="45"/>
      <c r="C240" s="80">
        <f t="shared" ca="1" si="7"/>
        <v>45959</v>
      </c>
      <c r="D240" s="81">
        <f ca="1">IF(Data!I240&lt;&gt;"",DATEDIF(Data!I240,C240,"m"),0)</f>
        <v>86</v>
      </c>
      <c r="E240" s="82">
        <f t="shared" ca="1" si="8"/>
        <v>7.166666666666667</v>
      </c>
      <c r="I240" s="81" t="str">
        <f>CONCATENATE(Data!M240,"-",Data!L240)</f>
        <v>CD-GE</v>
      </c>
      <c r="N240" s="81">
        <f>IF(Data!P240,DATEDIF(Data!O240,Data!P240,"d"),0)</f>
        <v>31</v>
      </c>
      <c r="O240" s="81">
        <f>IF(Data!M240="CD",1,0)</f>
        <v>1</v>
      </c>
      <c r="P240" s="81">
        <f>IF(Data!M240="CD",0,1)</f>
        <v>0</v>
      </c>
      <c r="Q240" s="81">
        <f>IF(Data!Q240&gt;Data!P240,DATEDIF(Data!P240,Data!Q240,"d"),0)</f>
        <v>3</v>
      </c>
      <c r="R240" s="81">
        <f>IF(Data!R240&gt;Data!Q240,DATEDIF(Data!Q240,Data!R240,"d"),0)</f>
        <v>17</v>
      </c>
      <c r="X240"/>
      <c r="Y240"/>
      <c r="Z240"/>
    </row>
    <row r="241" spans="2:26" ht="16" x14ac:dyDescent="0.2">
      <c r="B241" s="45"/>
      <c r="C241" s="80">
        <f t="shared" ca="1" si="7"/>
        <v>45959</v>
      </c>
      <c r="D241" s="81">
        <f ca="1">IF(Data!I241&lt;&gt;"",DATEDIF(Data!I241,C241,"m"),0)</f>
        <v>137</v>
      </c>
      <c r="E241" s="82">
        <f t="shared" ca="1" si="8"/>
        <v>11.416666666666666</v>
      </c>
      <c r="I241" s="81" t="str">
        <f>CONCATENATE(Data!M241,"-",Data!L241)</f>
        <v>CD-GE</v>
      </c>
      <c r="N241" s="81">
        <f>IF(Data!P241,DATEDIF(Data!O241,Data!P241,"d"),0)</f>
        <v>4</v>
      </c>
      <c r="O241" s="81">
        <f>IF(Data!M241="CD",1,0)</f>
        <v>1</v>
      </c>
      <c r="P241" s="81">
        <f>IF(Data!M241="CD",0,1)</f>
        <v>0</v>
      </c>
      <c r="Q241" s="81">
        <f>IF(Data!Q241&gt;Data!P241,DATEDIF(Data!P241,Data!Q241,"d"),0)</f>
        <v>28</v>
      </c>
      <c r="R241" s="81">
        <f>IF(Data!R241&gt;Data!Q241,DATEDIF(Data!Q241,Data!R241,"d"),0)</f>
        <v>17</v>
      </c>
      <c r="X241"/>
      <c r="Y241"/>
      <c r="Z241"/>
    </row>
    <row r="242" spans="2:26" ht="16" x14ac:dyDescent="0.2">
      <c r="B242" s="45"/>
      <c r="C242" s="80">
        <f t="shared" ca="1" si="7"/>
        <v>45959</v>
      </c>
      <c r="D242" s="81">
        <f ca="1">IF(Data!I242&lt;&gt;"",DATEDIF(Data!I242,C242,"m"),0)</f>
        <v>155</v>
      </c>
      <c r="E242" s="82">
        <f t="shared" ca="1" si="8"/>
        <v>12.916666666666666</v>
      </c>
      <c r="I242" s="81" t="str">
        <f>CONCATENATE(Data!M242,"-",Data!L242)</f>
        <v>CD-VA</v>
      </c>
      <c r="N242" s="81">
        <f>IF(Data!P242,DATEDIF(Data!O242,Data!P242,"d"),0)</f>
        <v>0</v>
      </c>
      <c r="O242" s="81">
        <f>IF(Data!M242="CD",1,0)</f>
        <v>1</v>
      </c>
      <c r="P242" s="81">
        <f>IF(Data!M242="CD",0,1)</f>
        <v>0</v>
      </c>
      <c r="Q242" s="81">
        <f>IF(Data!Q242&gt;Data!P242,DATEDIF(Data!P242,Data!Q242,"d"),0)</f>
        <v>0</v>
      </c>
      <c r="R242" s="81">
        <f>IF(Data!R242&gt;Data!Q242,DATEDIF(Data!Q242,Data!R242,"d"),0)</f>
        <v>0</v>
      </c>
      <c r="X242"/>
      <c r="Y242"/>
      <c r="Z242"/>
    </row>
    <row r="243" spans="2:26" ht="16" x14ac:dyDescent="0.2">
      <c r="B243" s="45"/>
      <c r="C243" s="80">
        <f t="shared" ca="1" si="7"/>
        <v>45959</v>
      </c>
      <c r="D243" s="81">
        <f ca="1">IF(Data!I243&lt;&gt;"",DATEDIF(Data!I243,C243,"m"),0)</f>
        <v>64</v>
      </c>
      <c r="E243" s="82">
        <f t="shared" ca="1" si="8"/>
        <v>5.333333333333333</v>
      </c>
      <c r="I243" s="81" t="str">
        <f>CONCATENATE(Data!M243,"-",Data!L243)</f>
        <v>CD-GE</v>
      </c>
      <c r="N243" s="81">
        <f>IF(Data!P243,DATEDIF(Data!O243,Data!P243,"d"),0)</f>
        <v>7</v>
      </c>
      <c r="O243" s="81">
        <f>IF(Data!M243="CD",1,0)</f>
        <v>1</v>
      </c>
      <c r="P243" s="81">
        <f>IF(Data!M243="CD",0,1)</f>
        <v>0</v>
      </c>
      <c r="Q243" s="81">
        <f>IF(Data!Q243&gt;Data!P243,DATEDIF(Data!P243,Data!Q243,"d"),0)</f>
        <v>26</v>
      </c>
      <c r="R243" s="81">
        <f>IF(Data!R243&gt;Data!Q243,DATEDIF(Data!Q243,Data!R243,"d"),0)</f>
        <v>14</v>
      </c>
      <c r="X243"/>
      <c r="Y243"/>
      <c r="Z243"/>
    </row>
    <row r="244" spans="2:26" ht="16" x14ac:dyDescent="0.2">
      <c r="B244" s="45"/>
      <c r="C244" s="80">
        <f t="shared" ca="1" si="7"/>
        <v>45959</v>
      </c>
      <c r="D244" s="81">
        <f>IF(Data!I244&lt;&gt;"",DATEDIF(Data!I244,C244,"m"),0)</f>
        <v>0</v>
      </c>
      <c r="E244" s="82">
        <f t="shared" si="8"/>
        <v>0</v>
      </c>
      <c r="I244" s="81" t="str">
        <f>CONCATENATE(Data!M244,"-",Data!L244)</f>
        <v>CD-CH</v>
      </c>
      <c r="N244" s="81">
        <f>IF(Data!P244,DATEDIF(Data!O244,Data!P244,"d"),0)</f>
        <v>0</v>
      </c>
      <c r="O244" s="81">
        <f>IF(Data!M244="CD",1,0)</f>
        <v>1</v>
      </c>
      <c r="P244" s="81">
        <f>IF(Data!M244="CD",0,1)</f>
        <v>0</v>
      </c>
      <c r="Q244" s="81">
        <f>IF(Data!Q244&gt;Data!P244,DATEDIF(Data!P244,Data!Q244,"d"),0)</f>
        <v>4</v>
      </c>
      <c r="R244" s="81">
        <f>IF(Data!R244&gt;Data!Q244,DATEDIF(Data!Q244,Data!R244,"d"),0)</f>
        <v>43</v>
      </c>
      <c r="X244"/>
      <c r="Y244"/>
      <c r="Z244"/>
    </row>
    <row r="245" spans="2:26" ht="16" x14ac:dyDescent="0.2">
      <c r="B245" s="45"/>
      <c r="C245" s="80">
        <f t="shared" ca="1" si="7"/>
        <v>45959</v>
      </c>
      <c r="D245" s="81">
        <f ca="1">IF(Data!I245&lt;&gt;"",DATEDIF(Data!I245,C245,"m"),0)</f>
        <v>53</v>
      </c>
      <c r="E245" s="82">
        <f t="shared" ca="1" si="8"/>
        <v>4.416666666666667</v>
      </c>
      <c r="I245" s="81" t="str">
        <f>CONCATENATE(Data!M245,"-",Data!L245)</f>
        <v>CD-GE</v>
      </c>
      <c r="N245" s="81">
        <f>IF(Data!P245,DATEDIF(Data!O245,Data!P245,"d"),0)</f>
        <v>8</v>
      </c>
      <c r="O245" s="81">
        <f>IF(Data!M245="CD",1,0)</f>
        <v>1</v>
      </c>
      <c r="P245" s="81">
        <f>IF(Data!M245="CD",0,1)</f>
        <v>0</v>
      </c>
      <c r="Q245" s="81">
        <f>IF(Data!Q245&gt;Data!P245,DATEDIF(Data!P245,Data!Q245,"d"),0)</f>
        <v>28</v>
      </c>
      <c r="R245" s="81">
        <f>IF(Data!R245&gt;Data!Q245,DATEDIF(Data!Q245,Data!R245,"d"),0)</f>
        <v>20</v>
      </c>
      <c r="X245"/>
      <c r="Y245"/>
      <c r="Z245"/>
    </row>
    <row r="246" spans="2:26" ht="16" x14ac:dyDescent="0.2">
      <c r="B246" s="45"/>
      <c r="C246" s="80">
        <f t="shared" ca="1" si="7"/>
        <v>45959</v>
      </c>
      <c r="D246" s="81">
        <f ca="1">IF(Data!I246&lt;&gt;"",DATEDIF(Data!I246,C246,"m"),0)</f>
        <v>95</v>
      </c>
      <c r="E246" s="82">
        <f t="shared" ca="1" si="8"/>
        <v>7.916666666666667</v>
      </c>
      <c r="I246" s="81" t="str">
        <f>CONCATENATE(Data!M246,"-",Data!L246)</f>
        <v>CD-BA</v>
      </c>
      <c r="N246" s="81">
        <f>IF(Data!P246,DATEDIF(Data!O246,Data!P246,"d"),0)</f>
        <v>8</v>
      </c>
      <c r="O246" s="81">
        <f>IF(Data!M246="CD",1,0)</f>
        <v>1</v>
      </c>
      <c r="P246" s="81">
        <f>IF(Data!M246="CD",0,1)</f>
        <v>0</v>
      </c>
      <c r="Q246" s="81">
        <f>IF(Data!Q246&gt;Data!P246,DATEDIF(Data!P246,Data!Q246,"d"),0)</f>
        <v>5</v>
      </c>
      <c r="R246" s="81">
        <f>IF(Data!R246&gt;Data!Q246,DATEDIF(Data!Q246,Data!R246,"d"),0)</f>
        <v>13</v>
      </c>
      <c r="X246"/>
      <c r="Y246"/>
      <c r="Z246"/>
    </row>
    <row r="247" spans="2:26" ht="16" x14ac:dyDescent="0.2">
      <c r="B247" s="45"/>
      <c r="C247" s="80">
        <f t="shared" ca="1" si="7"/>
        <v>45959</v>
      </c>
      <c r="D247" s="81">
        <f ca="1">IF(Data!I247&lt;&gt;"",DATEDIF(Data!I247,C247,"m"),0)</f>
        <v>81</v>
      </c>
      <c r="E247" s="82">
        <f t="shared" ca="1" si="8"/>
        <v>6.75</v>
      </c>
      <c r="I247" s="81" t="str">
        <f>CONCATENATE(Data!M247,"-",Data!L247)</f>
        <v>CD-BA</v>
      </c>
      <c r="N247" s="81">
        <f>IF(Data!P247,DATEDIF(Data!O247,Data!P247,"d"),0)</f>
        <v>0</v>
      </c>
      <c r="O247" s="81">
        <f>IF(Data!M247="CD",1,0)</f>
        <v>1</v>
      </c>
      <c r="P247" s="81">
        <f>IF(Data!M247="CD",0,1)</f>
        <v>0</v>
      </c>
      <c r="Q247" s="81">
        <f>IF(Data!Q247&gt;Data!P247,DATEDIF(Data!P247,Data!Q247,"d"),0)</f>
        <v>6</v>
      </c>
      <c r="R247" s="81">
        <f>IF(Data!R247&gt;Data!Q247,DATEDIF(Data!Q247,Data!R247,"d"),0)</f>
        <v>27</v>
      </c>
      <c r="X247"/>
      <c r="Y247"/>
      <c r="Z247"/>
    </row>
    <row r="248" spans="2:26" ht="16" x14ac:dyDescent="0.2">
      <c r="B248" s="45"/>
      <c r="C248" s="80">
        <f t="shared" ca="1" si="7"/>
        <v>45959</v>
      </c>
      <c r="D248" s="81">
        <f>IF(Data!I248&lt;&gt;"",DATEDIF(Data!I248,C248,"m"),0)</f>
        <v>0</v>
      </c>
      <c r="E248" s="82">
        <f t="shared" si="8"/>
        <v>0</v>
      </c>
      <c r="I248" s="81" t="str">
        <f>CONCATENATE(Data!M248,"-",Data!L248)</f>
        <v>CI-GE</v>
      </c>
      <c r="N248" s="81">
        <f>IF(Data!P248,DATEDIF(Data!O248,Data!P248,"d"),0)</f>
        <v>9</v>
      </c>
      <c r="O248" s="81">
        <f>IF(Data!M248="CD",1,0)</f>
        <v>0</v>
      </c>
      <c r="P248" s="81">
        <f>IF(Data!M248="CD",0,1)</f>
        <v>1</v>
      </c>
      <c r="Q248" s="81">
        <f>IF(Data!Q248&gt;Data!P248,DATEDIF(Data!P248,Data!Q248,"d"),0)</f>
        <v>28</v>
      </c>
      <c r="R248" s="81">
        <f>IF(Data!R248&gt;Data!Q248,DATEDIF(Data!Q248,Data!R248,"d"),0)</f>
        <v>38</v>
      </c>
      <c r="X248"/>
      <c r="Y248"/>
      <c r="Z248"/>
    </row>
    <row r="249" spans="2:26" ht="16" x14ac:dyDescent="0.2">
      <c r="B249" s="45"/>
      <c r="C249" s="80">
        <f t="shared" ca="1" si="7"/>
        <v>45959</v>
      </c>
      <c r="D249" s="81">
        <f>IF(Data!I249&lt;&gt;"",DATEDIF(Data!I249,C249,"m"),0)</f>
        <v>0</v>
      </c>
      <c r="E249" s="82">
        <f t="shared" si="8"/>
        <v>0</v>
      </c>
      <c r="I249" s="81" t="str">
        <f>CONCATENATE(Data!M249,"-",Data!L249)</f>
        <v>CD-GE</v>
      </c>
      <c r="N249" s="81">
        <f>IF(Data!P249,DATEDIF(Data!O249,Data!P249,"d"),0)</f>
        <v>9</v>
      </c>
      <c r="O249" s="81">
        <f>IF(Data!M249="CD",1,0)</f>
        <v>1</v>
      </c>
      <c r="P249" s="81">
        <f>IF(Data!M249="CD",0,1)</f>
        <v>0</v>
      </c>
      <c r="Q249" s="81">
        <f>IF(Data!Q249&gt;Data!P249,DATEDIF(Data!P249,Data!Q249,"d"),0)</f>
        <v>31</v>
      </c>
      <c r="R249" s="81">
        <f>IF(Data!R249&gt;Data!Q249,DATEDIF(Data!Q249,Data!R249,"d"),0)</f>
        <v>15</v>
      </c>
      <c r="X249"/>
      <c r="Y249"/>
      <c r="Z249"/>
    </row>
    <row r="250" spans="2:26" ht="16" x14ac:dyDescent="0.2">
      <c r="B250" s="45"/>
      <c r="C250" s="80">
        <f t="shared" ca="1" si="7"/>
        <v>45959</v>
      </c>
      <c r="D250" s="81">
        <f ca="1">IF(Data!I250&lt;&gt;"",DATEDIF(Data!I250,C250,"m"),0)</f>
        <v>136</v>
      </c>
      <c r="E250" s="82">
        <f t="shared" ca="1" si="8"/>
        <v>11.333333333333334</v>
      </c>
      <c r="I250" s="81" t="str">
        <f>CONCATENATE(Data!M250,"-",Data!L250)</f>
        <v>CD-GE</v>
      </c>
      <c r="N250" s="81">
        <f>IF(Data!P250,DATEDIF(Data!O250,Data!P250,"d"),0)</f>
        <v>9</v>
      </c>
      <c r="O250" s="81">
        <f>IF(Data!M250="CD",1,0)</f>
        <v>1</v>
      </c>
      <c r="P250" s="81">
        <f>IF(Data!M250="CD",0,1)</f>
        <v>0</v>
      </c>
      <c r="Q250" s="81">
        <f>IF(Data!Q250&gt;Data!P250,DATEDIF(Data!P250,Data!Q250,"d"),0)</f>
        <v>25</v>
      </c>
      <c r="R250" s="81">
        <f>IF(Data!R250&gt;Data!Q250,DATEDIF(Data!Q250,Data!R250,"d"),0)</f>
        <v>41</v>
      </c>
      <c r="X250"/>
      <c r="Y250"/>
      <c r="Z250"/>
    </row>
    <row r="251" spans="2:26" ht="16" x14ac:dyDescent="0.2">
      <c r="B251" s="45"/>
      <c r="C251" s="80">
        <f t="shared" ca="1" si="7"/>
        <v>45959</v>
      </c>
      <c r="D251" s="81">
        <f ca="1">IF(Data!I251&lt;&gt;"",DATEDIF(Data!I251,C251,"m"),0)</f>
        <v>8</v>
      </c>
      <c r="E251" s="82">
        <f t="shared" ca="1" si="8"/>
        <v>0.66666666666666663</v>
      </c>
      <c r="I251" s="81" t="str">
        <f>CONCATENATE(Data!M251,"-",Data!L251)</f>
        <v>CD-BA</v>
      </c>
      <c r="N251" s="81">
        <f>IF(Data!P251,DATEDIF(Data!O251,Data!P251,"d"),0)</f>
        <v>0</v>
      </c>
      <c r="O251" s="81">
        <f>IF(Data!M251="CD",1,0)</f>
        <v>1</v>
      </c>
      <c r="P251" s="81">
        <f>IF(Data!M251="CD",0,1)</f>
        <v>0</v>
      </c>
      <c r="Q251" s="81">
        <f>IF(Data!Q251&gt;Data!P251,DATEDIF(Data!P251,Data!Q251,"d"),0)</f>
        <v>1</v>
      </c>
      <c r="R251" s="81">
        <f>IF(Data!R251&gt;Data!Q251,DATEDIF(Data!Q251,Data!R251,"d"),0)</f>
        <v>21</v>
      </c>
      <c r="X251"/>
      <c r="Y251"/>
      <c r="Z251"/>
    </row>
    <row r="252" spans="2:26" ht="16" x14ac:dyDescent="0.2">
      <c r="B252" s="45"/>
      <c r="C252" s="80">
        <f t="shared" ca="1" si="7"/>
        <v>45959</v>
      </c>
      <c r="D252" s="81">
        <f ca="1">IF(Data!I252&lt;&gt;"",DATEDIF(Data!I252,C252,"m"),0)</f>
        <v>39</v>
      </c>
      <c r="E252" s="82">
        <f t="shared" ca="1" si="8"/>
        <v>3.25</v>
      </c>
      <c r="I252" s="81" t="str">
        <f>CONCATENATE(Data!M252,"-",Data!L252)</f>
        <v>IF-CH</v>
      </c>
      <c r="N252" s="81">
        <f>IF(Data!P252,DATEDIF(Data!O252,Data!P252,"d"),0)</f>
        <v>44</v>
      </c>
      <c r="O252" s="81">
        <f>IF(Data!M252="CD",1,0)</f>
        <v>0</v>
      </c>
      <c r="P252" s="81">
        <f>IF(Data!M252="CD",0,1)</f>
        <v>1</v>
      </c>
      <c r="Q252" s="81">
        <f>IF(Data!Q252&gt;Data!P252,DATEDIF(Data!P252,Data!Q252,"d"),0)</f>
        <v>6</v>
      </c>
      <c r="R252" s="81">
        <f>IF(Data!R252&gt;Data!Q252,DATEDIF(Data!Q252,Data!R252,"d"),0)</f>
        <v>29</v>
      </c>
      <c r="X252"/>
      <c r="Y252"/>
      <c r="Z252"/>
    </row>
    <row r="253" spans="2:26" ht="16" x14ac:dyDescent="0.2">
      <c r="B253" s="45"/>
      <c r="C253" s="80">
        <f t="shared" ca="1" si="7"/>
        <v>45959</v>
      </c>
      <c r="D253" s="81">
        <f ca="1">IF(Data!I253&lt;&gt;"",DATEDIF(Data!I253,C253,"m"),0)</f>
        <v>15</v>
      </c>
      <c r="E253" s="82">
        <f t="shared" ca="1" si="8"/>
        <v>1.25</v>
      </c>
      <c r="I253" s="81" t="str">
        <f>CONCATENATE(Data!M253,"-",Data!L253)</f>
        <v>CD-BA</v>
      </c>
      <c r="N253" s="81">
        <f>IF(Data!P253,DATEDIF(Data!O253,Data!P253,"d"),0)</f>
        <v>0</v>
      </c>
      <c r="O253" s="81">
        <f>IF(Data!M253="CD",1,0)</f>
        <v>1</v>
      </c>
      <c r="P253" s="81">
        <f>IF(Data!M253="CD",0,1)</f>
        <v>0</v>
      </c>
      <c r="Q253" s="81">
        <f>IF(Data!Q253&gt;Data!P253,DATEDIF(Data!P253,Data!Q253,"d"),0)</f>
        <v>1</v>
      </c>
      <c r="R253" s="81">
        <f>IF(Data!R253&gt;Data!Q253,DATEDIF(Data!Q253,Data!R253,"d"),0)</f>
        <v>7</v>
      </c>
      <c r="X253"/>
      <c r="Y253"/>
      <c r="Z253"/>
    </row>
    <row r="254" spans="2:26" ht="16" x14ac:dyDescent="0.2">
      <c r="B254" s="45"/>
      <c r="C254" s="80">
        <f t="shared" ca="1" si="7"/>
        <v>45959</v>
      </c>
      <c r="D254" s="81">
        <f ca="1">IF(Data!I254&lt;&gt;"",DATEDIF(Data!I254,C254,"m"),0)</f>
        <v>64</v>
      </c>
      <c r="E254" s="82">
        <f t="shared" ca="1" si="8"/>
        <v>5.333333333333333</v>
      </c>
      <c r="I254" s="81" t="str">
        <f>CONCATENATE(Data!M254,"-",Data!L254)</f>
        <v>CD-VA</v>
      </c>
      <c r="N254" s="81">
        <f>IF(Data!P254,DATEDIF(Data!O254,Data!P254,"d"),0)</f>
        <v>2</v>
      </c>
      <c r="O254" s="81">
        <f>IF(Data!M254="CD",1,0)</f>
        <v>1</v>
      </c>
      <c r="P254" s="81">
        <f>IF(Data!M254="CD",0,1)</f>
        <v>0</v>
      </c>
      <c r="Q254" s="81">
        <f>IF(Data!Q254&gt;Data!P254,DATEDIF(Data!P254,Data!Q254,"d"),0)</f>
        <v>26</v>
      </c>
      <c r="R254" s="81">
        <f>IF(Data!R254&gt;Data!Q254,DATEDIF(Data!Q254,Data!R254,"d"),0)</f>
        <v>14</v>
      </c>
      <c r="X254"/>
      <c r="Y254"/>
      <c r="Z254"/>
    </row>
    <row r="255" spans="2:26" ht="16" x14ac:dyDescent="0.2">
      <c r="B255" s="45"/>
      <c r="C255" s="80">
        <f t="shared" ca="1" si="7"/>
        <v>45959</v>
      </c>
      <c r="D255" s="81">
        <f ca="1">IF(Data!I255&lt;&gt;"",DATEDIF(Data!I255,C255,"m"),0)</f>
        <v>35</v>
      </c>
      <c r="E255" s="82">
        <f t="shared" ca="1" si="8"/>
        <v>2.9166666666666665</v>
      </c>
      <c r="I255" s="81" t="str">
        <f>CONCATENATE(Data!M255,"-",Data!L255)</f>
        <v>CD-BA</v>
      </c>
      <c r="N255" s="81">
        <f>IF(Data!P255,DATEDIF(Data!O255,Data!P255,"d"),0)</f>
        <v>51</v>
      </c>
      <c r="O255" s="81">
        <f>IF(Data!M255="CD",1,0)</f>
        <v>1</v>
      </c>
      <c r="P255" s="81">
        <f>IF(Data!M255="CD",0,1)</f>
        <v>0</v>
      </c>
      <c r="Q255" s="81">
        <f>IF(Data!Q255&gt;Data!P255,DATEDIF(Data!P255,Data!Q255,"d"),0)</f>
        <v>0</v>
      </c>
      <c r="R255" s="81">
        <f>IF(Data!R255&gt;Data!Q255,DATEDIF(Data!Q255,Data!R255,"d"),0)</f>
        <v>50</v>
      </c>
      <c r="X255"/>
      <c r="Y255"/>
      <c r="Z255"/>
    </row>
    <row r="256" spans="2:26" ht="16" x14ac:dyDescent="0.2">
      <c r="B256" s="45"/>
      <c r="C256" s="80">
        <f t="shared" ca="1" si="7"/>
        <v>45959</v>
      </c>
      <c r="D256" s="81">
        <f ca="1">IF(Data!I256&lt;&gt;"",DATEDIF(Data!I256,C256,"m"),0)</f>
        <v>110</v>
      </c>
      <c r="E256" s="82">
        <f t="shared" ca="1" si="8"/>
        <v>9.1666666666666661</v>
      </c>
      <c r="I256" s="81" t="str">
        <f>CONCATENATE(Data!M256,"-",Data!L256)</f>
        <v>SR-BA</v>
      </c>
      <c r="N256" s="81">
        <f>IF(Data!P256,DATEDIF(Data!O256,Data!P256,"d"),0)</f>
        <v>21</v>
      </c>
      <c r="O256" s="81">
        <f>IF(Data!M256="CD",1,0)</f>
        <v>0</v>
      </c>
      <c r="P256" s="81">
        <f>IF(Data!M256="CD",0,1)</f>
        <v>1</v>
      </c>
      <c r="Q256" s="81">
        <f>IF(Data!Q256&gt;Data!P256,DATEDIF(Data!P256,Data!Q256,"d"),0)</f>
        <v>0</v>
      </c>
      <c r="R256" s="81">
        <f>IF(Data!R256&gt;Data!Q256,DATEDIF(Data!Q256,Data!R256,"d"),0)</f>
        <v>0</v>
      </c>
      <c r="X256"/>
      <c r="Y256"/>
      <c r="Z256"/>
    </row>
    <row r="257" spans="2:26" ht="16" x14ac:dyDescent="0.2">
      <c r="B257" s="45"/>
      <c r="C257" s="80">
        <f t="shared" ca="1" si="7"/>
        <v>45959</v>
      </c>
      <c r="D257" s="81">
        <f ca="1">IF(Data!I257&lt;&gt;"",DATEDIF(Data!I257,C257,"m"),0)</f>
        <v>127</v>
      </c>
      <c r="E257" s="82">
        <f t="shared" ca="1" si="8"/>
        <v>10.583333333333334</v>
      </c>
      <c r="I257" s="81" t="str">
        <f>CONCATENATE(Data!M257,"-",Data!L257)</f>
        <v>CD-GE</v>
      </c>
      <c r="N257" s="81">
        <f>IF(Data!P257,DATEDIF(Data!O257,Data!P257,"d"),0)</f>
        <v>3</v>
      </c>
      <c r="O257" s="81">
        <f>IF(Data!M257="CD",1,0)</f>
        <v>1</v>
      </c>
      <c r="P257" s="81">
        <f>IF(Data!M257="CD",0,1)</f>
        <v>0</v>
      </c>
      <c r="Q257" s="81">
        <f>IF(Data!Q257&gt;Data!P257,DATEDIF(Data!P257,Data!Q257,"d"),0)</f>
        <v>2</v>
      </c>
      <c r="R257" s="81">
        <f>IF(Data!R257&gt;Data!Q257,DATEDIF(Data!Q257,Data!R257,"d"),0)</f>
        <v>20</v>
      </c>
      <c r="X257"/>
      <c r="Y257"/>
      <c r="Z257"/>
    </row>
    <row r="258" spans="2:26" ht="16" x14ac:dyDescent="0.2">
      <c r="B258" s="45"/>
      <c r="C258" s="80">
        <f t="shared" ref="C258:C321" ca="1" si="9">TODAY()</f>
        <v>45959</v>
      </c>
      <c r="D258" s="81">
        <f ca="1">IF(Data!I258&lt;&gt;"",DATEDIF(Data!I258,C258,"m"),0)</f>
        <v>9</v>
      </c>
      <c r="E258" s="82">
        <f t="shared" ca="1" si="8"/>
        <v>0.75</v>
      </c>
      <c r="I258" s="81" t="str">
        <f>CONCATENATE(Data!M258,"-",Data!L258)</f>
        <v>CD-VA</v>
      </c>
      <c r="N258" s="81">
        <f>IF(Data!P258,DATEDIF(Data!O258,Data!P258,"d"),0)</f>
        <v>6</v>
      </c>
      <c r="O258" s="81">
        <f>IF(Data!M258="CD",1,0)</f>
        <v>1</v>
      </c>
      <c r="P258" s="81">
        <f>IF(Data!M258="CD",0,1)</f>
        <v>0</v>
      </c>
      <c r="Q258" s="81">
        <f>IF(Data!Q258&gt;Data!P258,DATEDIF(Data!P258,Data!Q258,"d"),0)</f>
        <v>0</v>
      </c>
      <c r="R258" s="81">
        <f>IF(Data!R258&gt;Data!Q258,DATEDIF(Data!Q258,Data!R258,"d"),0)</f>
        <v>33</v>
      </c>
      <c r="X258"/>
      <c r="Y258"/>
      <c r="Z258"/>
    </row>
    <row r="259" spans="2:26" ht="16" x14ac:dyDescent="0.2">
      <c r="B259" s="45"/>
      <c r="C259" s="80">
        <f t="shared" ca="1" si="9"/>
        <v>45959</v>
      </c>
      <c r="D259" s="81">
        <f>IF(Data!I259&lt;&gt;"",DATEDIF(Data!I259,C259,"m"),0)</f>
        <v>0</v>
      </c>
      <c r="E259" s="82">
        <f t="shared" ref="E259:E322" si="10">D259/12</f>
        <v>0</v>
      </c>
      <c r="I259" s="81" t="str">
        <f>CONCATENATE(Data!M259,"-",Data!L259)</f>
        <v>CD-BA</v>
      </c>
      <c r="N259" s="81">
        <f>IF(Data!P259,DATEDIF(Data!O259,Data!P259,"d"),0)</f>
        <v>155</v>
      </c>
      <c r="O259" s="81">
        <f>IF(Data!M259="CD",1,0)</f>
        <v>1</v>
      </c>
      <c r="P259" s="81">
        <f>IF(Data!M259="CD",0,1)</f>
        <v>0</v>
      </c>
      <c r="Q259" s="81">
        <f>IF(Data!Q259&gt;Data!P259,DATEDIF(Data!P259,Data!Q259,"d"),0)</f>
        <v>0</v>
      </c>
      <c r="R259" s="81">
        <f>IF(Data!R259&gt;Data!Q259,DATEDIF(Data!Q259,Data!R259,"d"),0)</f>
        <v>69</v>
      </c>
      <c r="X259"/>
      <c r="Y259"/>
      <c r="Z259"/>
    </row>
    <row r="260" spans="2:26" ht="16" x14ac:dyDescent="0.2">
      <c r="B260" s="45"/>
      <c r="C260" s="80">
        <f t="shared" ca="1" si="9"/>
        <v>45959</v>
      </c>
      <c r="D260" s="81">
        <f>IF(Data!I260&lt;&gt;"",DATEDIF(Data!I260,C260,"m"),0)</f>
        <v>0</v>
      </c>
      <c r="E260" s="82">
        <f t="shared" si="10"/>
        <v>0</v>
      </c>
      <c r="I260" s="81" t="str">
        <f>CONCATENATE(Data!M260,"-",Data!L260)</f>
        <v>CI-BA</v>
      </c>
      <c r="N260" s="81">
        <f>IF(Data!P260,DATEDIF(Data!O260,Data!P260,"d"),0)</f>
        <v>4</v>
      </c>
      <c r="O260" s="81">
        <f>IF(Data!M260="CD",1,0)</f>
        <v>0</v>
      </c>
      <c r="P260" s="81">
        <f>IF(Data!M260="CD",0,1)</f>
        <v>1</v>
      </c>
      <c r="Q260" s="81">
        <f>IF(Data!Q260&gt;Data!P260,DATEDIF(Data!P260,Data!Q260,"d"),0)</f>
        <v>2</v>
      </c>
      <c r="R260" s="81">
        <f>IF(Data!R260&gt;Data!Q260,DATEDIF(Data!Q260,Data!R260,"d"),0)</f>
        <v>33</v>
      </c>
      <c r="X260"/>
      <c r="Y260"/>
      <c r="Z260"/>
    </row>
    <row r="261" spans="2:26" ht="16" x14ac:dyDescent="0.2">
      <c r="B261" s="45"/>
      <c r="C261" s="80">
        <f t="shared" ca="1" si="9"/>
        <v>45959</v>
      </c>
      <c r="D261" s="81">
        <f>IF(Data!I261&lt;&gt;"",DATEDIF(Data!I261,C261,"m"),0)</f>
        <v>0</v>
      </c>
      <c r="E261" s="82">
        <f t="shared" si="10"/>
        <v>0</v>
      </c>
      <c r="I261" s="81" t="str">
        <f>CONCATENATE(Data!M261,"-",Data!L261)</f>
        <v>CD-GE</v>
      </c>
      <c r="N261" s="81">
        <f>IF(Data!P261,DATEDIF(Data!O261,Data!P261,"d"),0)</f>
        <v>23</v>
      </c>
      <c r="O261" s="81">
        <f>IF(Data!M261="CD",1,0)</f>
        <v>1</v>
      </c>
      <c r="P261" s="81">
        <f>IF(Data!M261="CD",0,1)</f>
        <v>0</v>
      </c>
      <c r="Q261" s="81">
        <f>IF(Data!Q261&gt;Data!P261,DATEDIF(Data!P261,Data!Q261,"d"),0)</f>
        <v>26</v>
      </c>
      <c r="R261" s="81">
        <f>IF(Data!R261&gt;Data!Q261,DATEDIF(Data!Q261,Data!R261,"d"),0)</f>
        <v>12</v>
      </c>
      <c r="X261"/>
      <c r="Y261"/>
      <c r="Z261"/>
    </row>
    <row r="262" spans="2:26" ht="16" x14ac:dyDescent="0.2">
      <c r="B262" s="45"/>
      <c r="C262" s="80">
        <f t="shared" ca="1" si="9"/>
        <v>45959</v>
      </c>
      <c r="D262" s="81">
        <f ca="1">IF(Data!I262&lt;&gt;"",DATEDIF(Data!I262,C262,"m"),0)</f>
        <v>45</v>
      </c>
      <c r="E262" s="82">
        <f t="shared" ca="1" si="10"/>
        <v>3.75</v>
      </c>
      <c r="I262" s="81" t="str">
        <f>CONCATENATE(Data!M262,"-",Data!L262)</f>
        <v>CD-BA</v>
      </c>
      <c r="N262" s="81">
        <f>IF(Data!P262,DATEDIF(Data!O262,Data!P262,"d"),0)</f>
        <v>131</v>
      </c>
      <c r="O262" s="81">
        <f>IF(Data!M262="CD",1,0)</f>
        <v>1</v>
      </c>
      <c r="P262" s="81">
        <f>IF(Data!M262="CD",0,1)</f>
        <v>0</v>
      </c>
      <c r="Q262" s="81">
        <f>IF(Data!Q262&gt;Data!P262,DATEDIF(Data!P262,Data!Q262,"d"),0)</f>
        <v>0</v>
      </c>
      <c r="R262" s="81">
        <f>IF(Data!R262&gt;Data!Q262,DATEDIF(Data!Q262,Data!R262,"d"),0)</f>
        <v>98</v>
      </c>
      <c r="X262"/>
      <c r="Y262"/>
      <c r="Z262"/>
    </row>
    <row r="263" spans="2:26" ht="16" x14ac:dyDescent="0.2">
      <c r="B263" s="45"/>
      <c r="C263" s="80">
        <f t="shared" ca="1" si="9"/>
        <v>45959</v>
      </c>
      <c r="D263" s="81">
        <f ca="1">IF(Data!I263&lt;&gt;"",DATEDIF(Data!I263,C263,"m"),0)</f>
        <v>9</v>
      </c>
      <c r="E263" s="82">
        <f t="shared" ca="1" si="10"/>
        <v>0.75</v>
      </c>
      <c r="I263" s="81" t="str">
        <f>CONCATENATE(Data!M263,"-",Data!L263)</f>
        <v>CD-GE</v>
      </c>
      <c r="N263" s="81">
        <f>IF(Data!P263,DATEDIF(Data!O263,Data!P263,"d"),0)</f>
        <v>6</v>
      </c>
      <c r="O263" s="81">
        <f>IF(Data!M263="CD",1,0)</f>
        <v>1</v>
      </c>
      <c r="P263" s="81">
        <f>IF(Data!M263="CD",0,1)</f>
        <v>0</v>
      </c>
      <c r="Q263" s="81">
        <f>IF(Data!Q263&gt;Data!P263,DATEDIF(Data!P263,Data!Q263,"d"),0)</f>
        <v>2</v>
      </c>
      <c r="R263" s="81">
        <f>IF(Data!R263&gt;Data!Q263,DATEDIF(Data!Q263,Data!R263,"d"),0)</f>
        <v>26</v>
      </c>
      <c r="X263"/>
      <c r="Y263"/>
      <c r="Z263"/>
    </row>
    <row r="264" spans="2:26" ht="16" x14ac:dyDescent="0.2">
      <c r="B264" s="45"/>
      <c r="C264" s="80">
        <f t="shared" ca="1" si="9"/>
        <v>45959</v>
      </c>
      <c r="D264" s="81">
        <f ca="1">IF(Data!I264&lt;&gt;"",DATEDIF(Data!I264,C264,"m"),0)</f>
        <v>12</v>
      </c>
      <c r="E264" s="82">
        <f t="shared" ca="1" si="10"/>
        <v>1</v>
      </c>
      <c r="I264" s="81" t="str">
        <f>CONCATENATE(Data!M264,"-",Data!L264)</f>
        <v>CI-BA</v>
      </c>
      <c r="N264" s="81">
        <f>IF(Data!P264,DATEDIF(Data!O264,Data!P264,"d"),0)</f>
        <v>7</v>
      </c>
      <c r="O264" s="81">
        <f>IF(Data!M264="CD",1,0)</f>
        <v>0</v>
      </c>
      <c r="P264" s="81">
        <f>IF(Data!M264="CD",0,1)</f>
        <v>1</v>
      </c>
      <c r="Q264" s="81">
        <f>IF(Data!Q264&gt;Data!P264,DATEDIF(Data!P264,Data!Q264,"d"),0)</f>
        <v>7</v>
      </c>
      <c r="R264" s="81">
        <f>IF(Data!R264&gt;Data!Q264,DATEDIF(Data!Q264,Data!R264,"d"),0)</f>
        <v>34</v>
      </c>
      <c r="X264"/>
      <c r="Y264"/>
      <c r="Z264"/>
    </row>
    <row r="265" spans="2:26" ht="16" x14ac:dyDescent="0.2">
      <c r="B265" s="45"/>
      <c r="C265" s="80">
        <f t="shared" ca="1" si="9"/>
        <v>45959</v>
      </c>
      <c r="D265" s="81">
        <f ca="1">IF(Data!I265&lt;&gt;"",DATEDIF(Data!I265,C265,"m"),0)</f>
        <v>117</v>
      </c>
      <c r="E265" s="82">
        <f t="shared" ca="1" si="10"/>
        <v>9.75</v>
      </c>
      <c r="I265" s="81" t="str">
        <f>CONCATENATE(Data!M265,"-",Data!L265)</f>
        <v>CD-CH</v>
      </c>
      <c r="N265" s="81">
        <f>IF(Data!P265,DATEDIF(Data!O265,Data!P265,"d"),0)</f>
        <v>10</v>
      </c>
      <c r="O265" s="81">
        <f>IF(Data!M265="CD",1,0)</f>
        <v>1</v>
      </c>
      <c r="P265" s="81">
        <f>IF(Data!M265="CD",0,1)</f>
        <v>0</v>
      </c>
      <c r="Q265" s="81">
        <f>IF(Data!Q265&gt;Data!P265,DATEDIF(Data!P265,Data!Q265,"d"),0)</f>
        <v>4</v>
      </c>
      <c r="R265" s="81">
        <f>IF(Data!R265&gt;Data!Q265,DATEDIF(Data!Q265,Data!R265,"d"),0)</f>
        <v>22</v>
      </c>
      <c r="X265"/>
      <c r="Y265"/>
      <c r="Z265"/>
    </row>
    <row r="266" spans="2:26" ht="16" x14ac:dyDescent="0.2">
      <c r="B266" s="45"/>
      <c r="C266" s="80">
        <f t="shared" ca="1" si="9"/>
        <v>45959</v>
      </c>
      <c r="D266" s="81">
        <f ca="1">IF(Data!I266&lt;&gt;"",DATEDIF(Data!I266,C266,"m"),0)</f>
        <v>41</v>
      </c>
      <c r="E266" s="82">
        <f t="shared" ca="1" si="10"/>
        <v>3.4166666666666665</v>
      </c>
      <c r="I266" s="81" t="str">
        <f>CONCATENATE(Data!M266,"-",Data!L266)</f>
        <v>CD-GE</v>
      </c>
      <c r="N266" s="81">
        <f>IF(Data!P266,DATEDIF(Data!O266,Data!P266,"d"),0)</f>
        <v>63</v>
      </c>
      <c r="O266" s="81">
        <f>IF(Data!M266="CD",1,0)</f>
        <v>1</v>
      </c>
      <c r="P266" s="81">
        <f>IF(Data!M266="CD",0,1)</f>
        <v>0</v>
      </c>
      <c r="Q266" s="81">
        <f>IF(Data!Q266&gt;Data!P266,DATEDIF(Data!P266,Data!Q266,"d"),0)</f>
        <v>0</v>
      </c>
      <c r="R266" s="81">
        <f>IF(Data!R266&gt;Data!Q266,DATEDIF(Data!Q266,Data!R266,"d"),0)</f>
        <v>21</v>
      </c>
      <c r="X266"/>
      <c r="Y266"/>
      <c r="Z266"/>
    </row>
    <row r="267" spans="2:26" ht="16" x14ac:dyDescent="0.2">
      <c r="B267" s="45"/>
      <c r="C267" s="80">
        <f t="shared" ca="1" si="9"/>
        <v>45959</v>
      </c>
      <c r="D267" s="81">
        <f ca="1">IF(Data!I267&lt;&gt;"",DATEDIF(Data!I267,C267,"m"),0)</f>
        <v>25</v>
      </c>
      <c r="E267" s="82">
        <f t="shared" ca="1" si="10"/>
        <v>2.0833333333333335</v>
      </c>
      <c r="I267" s="81" t="str">
        <f>CONCATENATE(Data!M267,"-",Data!L267)</f>
        <v>CD-GE</v>
      </c>
      <c r="N267" s="81">
        <f>IF(Data!P267,DATEDIF(Data!O267,Data!P267,"d"),0)</f>
        <v>25</v>
      </c>
      <c r="O267" s="81">
        <f>IF(Data!M267="CD",1,0)</f>
        <v>1</v>
      </c>
      <c r="P267" s="81">
        <f>IF(Data!M267="CD",0,1)</f>
        <v>0</v>
      </c>
      <c r="Q267" s="81">
        <f>IF(Data!Q267&gt;Data!P267,DATEDIF(Data!P267,Data!Q267,"d"),0)</f>
        <v>24</v>
      </c>
      <c r="R267" s="81">
        <f>IF(Data!R267&gt;Data!Q267,DATEDIF(Data!Q267,Data!R267,"d"),0)</f>
        <v>25</v>
      </c>
      <c r="X267"/>
      <c r="Y267"/>
      <c r="Z267"/>
    </row>
    <row r="268" spans="2:26" ht="16" x14ac:dyDescent="0.2">
      <c r="B268" s="45"/>
      <c r="C268" s="80">
        <f t="shared" ca="1" si="9"/>
        <v>45959</v>
      </c>
      <c r="D268" s="81">
        <f ca="1">IF(Data!I268&lt;&gt;"",DATEDIF(Data!I268,C268,"m"),0)</f>
        <v>18</v>
      </c>
      <c r="E268" s="82">
        <f t="shared" ca="1" si="10"/>
        <v>1.5</v>
      </c>
      <c r="I268" s="81" t="str">
        <f>CONCATENATE(Data!M268,"-",Data!L268)</f>
        <v>CD-BA</v>
      </c>
      <c r="N268" s="81">
        <f>IF(Data!P268,DATEDIF(Data!O268,Data!P268,"d"),0)</f>
        <v>0</v>
      </c>
      <c r="O268" s="81">
        <f>IF(Data!M268="CD",1,0)</f>
        <v>1</v>
      </c>
      <c r="P268" s="81">
        <f>IF(Data!M268="CD",0,1)</f>
        <v>0</v>
      </c>
      <c r="Q268" s="81">
        <f>IF(Data!Q268&gt;Data!P268,DATEDIF(Data!P268,Data!Q268,"d"),0)</f>
        <v>1</v>
      </c>
      <c r="R268" s="81">
        <f>IF(Data!R268&gt;Data!Q268,DATEDIF(Data!Q268,Data!R268,"d"),0)</f>
        <v>43</v>
      </c>
      <c r="X268"/>
      <c r="Y268"/>
      <c r="Z268"/>
    </row>
    <row r="269" spans="2:26" ht="16" x14ac:dyDescent="0.2">
      <c r="B269" s="45"/>
      <c r="C269" s="80">
        <f t="shared" ca="1" si="9"/>
        <v>45959</v>
      </c>
      <c r="D269" s="81">
        <f ca="1">IF(Data!I269&lt;&gt;"",DATEDIF(Data!I269,C269,"m"),0)</f>
        <v>12</v>
      </c>
      <c r="E269" s="82">
        <f t="shared" ca="1" si="10"/>
        <v>1</v>
      </c>
      <c r="I269" s="81" t="str">
        <f>CONCATENATE(Data!M269,"-",Data!L269)</f>
        <v>CD-GE</v>
      </c>
      <c r="N269" s="81">
        <f>IF(Data!P269,DATEDIF(Data!O269,Data!P269,"d"),0)</f>
        <v>25</v>
      </c>
      <c r="O269" s="81">
        <f>IF(Data!M269="CD",1,0)</f>
        <v>1</v>
      </c>
      <c r="P269" s="81">
        <f>IF(Data!M269="CD",0,1)</f>
        <v>0</v>
      </c>
      <c r="Q269" s="81">
        <f>IF(Data!Q269&gt;Data!P269,DATEDIF(Data!P269,Data!Q269,"d"),0)</f>
        <v>31</v>
      </c>
      <c r="R269" s="81">
        <f>IF(Data!R269&gt;Data!Q269,DATEDIF(Data!Q269,Data!R269,"d"),0)</f>
        <v>15</v>
      </c>
      <c r="X269"/>
      <c r="Y269"/>
      <c r="Z269"/>
    </row>
    <row r="270" spans="2:26" ht="16" x14ac:dyDescent="0.2">
      <c r="B270" s="45"/>
      <c r="C270" s="80">
        <f t="shared" ca="1" si="9"/>
        <v>45959</v>
      </c>
      <c r="D270" s="81">
        <f ca="1">IF(Data!I270&lt;&gt;"",DATEDIF(Data!I270,C270,"m"),0)</f>
        <v>163</v>
      </c>
      <c r="E270" s="82">
        <f t="shared" ca="1" si="10"/>
        <v>13.583333333333334</v>
      </c>
      <c r="I270" s="81" t="str">
        <f>CONCATENATE(Data!M270,"-",Data!L270)</f>
        <v>CD-BA</v>
      </c>
      <c r="N270" s="81">
        <f>IF(Data!P270,DATEDIF(Data!O270,Data!P270,"d"),0)</f>
        <v>0</v>
      </c>
      <c r="O270" s="81">
        <f>IF(Data!M270="CD",1,0)</f>
        <v>1</v>
      </c>
      <c r="P270" s="81">
        <f>IF(Data!M270="CD",0,1)</f>
        <v>0</v>
      </c>
      <c r="Q270" s="81">
        <f>IF(Data!Q270&gt;Data!P270,DATEDIF(Data!P270,Data!Q270,"d"),0)</f>
        <v>0</v>
      </c>
      <c r="R270" s="81">
        <f>IF(Data!R270&gt;Data!Q270,DATEDIF(Data!Q270,Data!R270,"d"),0)</f>
        <v>30</v>
      </c>
      <c r="X270"/>
      <c r="Y270"/>
      <c r="Z270"/>
    </row>
    <row r="271" spans="2:26" ht="16" x14ac:dyDescent="0.2">
      <c r="B271" s="45"/>
      <c r="C271" s="80">
        <f t="shared" ca="1" si="9"/>
        <v>45959</v>
      </c>
      <c r="D271" s="81">
        <f ca="1">IF(Data!I271&lt;&gt;"",DATEDIF(Data!I271,C271,"m"),0)</f>
        <v>29</v>
      </c>
      <c r="E271" s="82">
        <f t="shared" ca="1" si="10"/>
        <v>2.4166666666666665</v>
      </c>
      <c r="I271" s="81" t="str">
        <f>CONCATENATE(Data!M271,"-",Data!L271)</f>
        <v>CI-VA</v>
      </c>
      <c r="N271" s="81">
        <f>IF(Data!P271,DATEDIF(Data!O271,Data!P271,"d"),0)</f>
        <v>210</v>
      </c>
      <c r="O271" s="81">
        <f>IF(Data!M271="CD",1,0)</f>
        <v>0</v>
      </c>
      <c r="P271" s="81">
        <f>IF(Data!M271="CD",0,1)</f>
        <v>1</v>
      </c>
      <c r="Q271" s="81">
        <f>IF(Data!Q271&gt;Data!P271,DATEDIF(Data!P271,Data!Q271,"d"),0)</f>
        <v>0</v>
      </c>
      <c r="R271" s="81">
        <f>IF(Data!R271&gt;Data!Q271,DATEDIF(Data!Q271,Data!R271,"d"),0)</f>
        <v>33</v>
      </c>
      <c r="X271"/>
      <c r="Y271"/>
      <c r="Z271"/>
    </row>
    <row r="272" spans="2:26" ht="16" x14ac:dyDescent="0.2">
      <c r="B272" s="45"/>
      <c r="C272" s="80">
        <f t="shared" ca="1" si="9"/>
        <v>45959</v>
      </c>
      <c r="D272" s="81">
        <f ca="1">IF(Data!I272&lt;&gt;"",DATEDIF(Data!I272,C272,"m"),0)</f>
        <v>15</v>
      </c>
      <c r="E272" s="82">
        <f t="shared" ca="1" si="10"/>
        <v>1.25</v>
      </c>
      <c r="I272" s="81" t="str">
        <f>CONCATENATE(Data!M272,"-",Data!L272)</f>
        <v>CI-BA</v>
      </c>
      <c r="N272" s="81">
        <f>IF(Data!P272,DATEDIF(Data!O272,Data!P272,"d"),0)</f>
        <v>0</v>
      </c>
      <c r="O272" s="81">
        <f>IF(Data!M272="CD",1,0)</f>
        <v>0</v>
      </c>
      <c r="P272" s="81">
        <f>IF(Data!M272="CD",0,1)</f>
        <v>1</v>
      </c>
      <c r="Q272" s="81">
        <f>IF(Data!Q272&gt;Data!P272,DATEDIF(Data!P272,Data!Q272,"d"),0)</f>
        <v>16</v>
      </c>
      <c r="R272" s="81">
        <f>IF(Data!R272&gt;Data!Q272,DATEDIF(Data!Q272,Data!R272,"d"),0)</f>
        <v>37</v>
      </c>
      <c r="X272"/>
      <c r="Y272"/>
      <c r="Z272"/>
    </row>
    <row r="273" spans="2:26" ht="16" x14ac:dyDescent="0.2">
      <c r="B273" s="45"/>
      <c r="C273" s="80">
        <f t="shared" ca="1" si="9"/>
        <v>45959</v>
      </c>
      <c r="D273" s="81">
        <f ca="1">IF(Data!I273&lt;&gt;"",DATEDIF(Data!I273,C273,"m"),0)</f>
        <v>80</v>
      </c>
      <c r="E273" s="82">
        <f t="shared" ca="1" si="10"/>
        <v>6.666666666666667</v>
      </c>
      <c r="I273" s="81" t="str">
        <f>CONCATENATE(Data!M273,"-",Data!L273)</f>
        <v>CD-VA</v>
      </c>
      <c r="N273" s="81">
        <f>IF(Data!P273,DATEDIF(Data!O273,Data!P273,"d"),0)</f>
        <v>14</v>
      </c>
      <c r="O273" s="81">
        <f>IF(Data!M273="CD",1,0)</f>
        <v>1</v>
      </c>
      <c r="P273" s="81">
        <f>IF(Data!M273="CD",0,1)</f>
        <v>0</v>
      </c>
      <c r="Q273" s="81">
        <f>IF(Data!Q273&gt;Data!P273,DATEDIF(Data!P273,Data!Q273,"d"),0)</f>
        <v>0</v>
      </c>
      <c r="R273" s="81">
        <f>IF(Data!R273&gt;Data!Q273,DATEDIF(Data!Q273,Data!R273,"d"),0)</f>
        <v>33</v>
      </c>
      <c r="X273"/>
      <c r="Y273"/>
      <c r="Z273"/>
    </row>
    <row r="274" spans="2:26" ht="16" x14ac:dyDescent="0.2">
      <c r="B274" s="45"/>
      <c r="C274" s="80">
        <f t="shared" ca="1" si="9"/>
        <v>45959</v>
      </c>
      <c r="D274" s="81">
        <f ca="1">IF(Data!I274&lt;&gt;"",DATEDIF(Data!I274,C274,"m"),0)</f>
        <v>118</v>
      </c>
      <c r="E274" s="82">
        <f t="shared" ca="1" si="10"/>
        <v>9.8333333333333339</v>
      </c>
      <c r="I274" s="81" t="str">
        <f>CONCATENATE(Data!M274,"-",Data!L274)</f>
        <v>CD-VA</v>
      </c>
      <c r="N274" s="81">
        <f>IF(Data!P274,DATEDIF(Data!O274,Data!P274,"d"),0)</f>
        <v>0</v>
      </c>
      <c r="O274" s="81">
        <f>IF(Data!M274="CD",1,0)</f>
        <v>1</v>
      </c>
      <c r="P274" s="81">
        <f>IF(Data!M274="CD",0,1)</f>
        <v>0</v>
      </c>
      <c r="Q274" s="81">
        <f>IF(Data!Q274&gt;Data!P274,DATEDIF(Data!P274,Data!Q274,"d"),0)</f>
        <v>5</v>
      </c>
      <c r="R274" s="81">
        <f>IF(Data!R274&gt;Data!Q274,DATEDIF(Data!Q274,Data!R274,"d"),0)</f>
        <v>24</v>
      </c>
      <c r="X274"/>
      <c r="Y274"/>
      <c r="Z274"/>
    </row>
    <row r="275" spans="2:26" ht="16" x14ac:dyDescent="0.2">
      <c r="B275" s="45"/>
      <c r="C275" s="80">
        <f t="shared" ca="1" si="9"/>
        <v>45959</v>
      </c>
      <c r="D275" s="81">
        <f ca="1">IF(Data!I275&lt;&gt;"",DATEDIF(Data!I275,C275,"m"),0)</f>
        <v>43</v>
      </c>
      <c r="E275" s="82">
        <f t="shared" ca="1" si="10"/>
        <v>3.5833333333333335</v>
      </c>
      <c r="I275" s="81" t="str">
        <f>CONCATENATE(Data!M275,"-",Data!L275)</f>
        <v>CD-CH</v>
      </c>
      <c r="N275" s="81">
        <f>IF(Data!P275,DATEDIF(Data!O275,Data!P275,"d"),0)</f>
        <v>0</v>
      </c>
      <c r="O275" s="81">
        <f>IF(Data!M275="CD",1,0)</f>
        <v>1</v>
      </c>
      <c r="P275" s="81">
        <f>IF(Data!M275="CD",0,1)</f>
        <v>0</v>
      </c>
      <c r="Q275" s="81">
        <f>IF(Data!Q275&gt;Data!P275,DATEDIF(Data!P275,Data!Q275,"d"),0)</f>
        <v>2</v>
      </c>
      <c r="R275" s="81">
        <f>IF(Data!R275&gt;Data!Q275,DATEDIF(Data!Q275,Data!R275,"d"),0)</f>
        <v>27</v>
      </c>
      <c r="X275"/>
      <c r="Y275"/>
      <c r="Z275"/>
    </row>
    <row r="276" spans="2:26" ht="16" x14ac:dyDescent="0.2">
      <c r="B276" s="45"/>
      <c r="C276" s="80">
        <f t="shared" ca="1" si="9"/>
        <v>45959</v>
      </c>
      <c r="D276" s="81">
        <f ca="1">IF(Data!I276&lt;&gt;"",DATEDIF(Data!I276,C276,"m"),0)</f>
        <v>47</v>
      </c>
      <c r="E276" s="82">
        <f t="shared" ca="1" si="10"/>
        <v>3.9166666666666665</v>
      </c>
      <c r="I276" s="81" t="str">
        <f>CONCATENATE(Data!M276,"-",Data!L276)</f>
        <v>CD-GE</v>
      </c>
      <c r="N276" s="81">
        <f>IF(Data!P276,DATEDIF(Data!O276,Data!P276,"d"),0)</f>
        <v>3</v>
      </c>
      <c r="O276" s="81">
        <f>IF(Data!M276="CD",1,0)</f>
        <v>1</v>
      </c>
      <c r="P276" s="81">
        <f>IF(Data!M276="CD",0,1)</f>
        <v>0</v>
      </c>
      <c r="Q276" s="81">
        <f>IF(Data!Q276&gt;Data!P276,DATEDIF(Data!P276,Data!Q276,"d"),0)</f>
        <v>0</v>
      </c>
      <c r="R276" s="81">
        <f>IF(Data!R276&gt;Data!Q276,DATEDIF(Data!Q276,Data!R276,"d"),0)</f>
        <v>14</v>
      </c>
      <c r="X276"/>
      <c r="Y276"/>
      <c r="Z276"/>
    </row>
    <row r="277" spans="2:26" ht="16" x14ac:dyDescent="0.2">
      <c r="B277" s="45"/>
      <c r="C277" s="80">
        <f t="shared" ca="1" si="9"/>
        <v>45959</v>
      </c>
      <c r="D277" s="81">
        <f ca="1">IF(Data!I277&lt;&gt;"",DATEDIF(Data!I277,C277,"m"),0)</f>
        <v>92</v>
      </c>
      <c r="E277" s="82">
        <f t="shared" ca="1" si="10"/>
        <v>7.666666666666667</v>
      </c>
      <c r="I277" s="81" t="str">
        <f>CONCATENATE(Data!M277,"-",Data!L277)</f>
        <v>CD-BA</v>
      </c>
      <c r="N277" s="81">
        <f>IF(Data!P277,DATEDIF(Data!O277,Data!P277,"d"),0)</f>
        <v>4</v>
      </c>
      <c r="O277" s="81">
        <f>IF(Data!M277="CD",1,0)</f>
        <v>1</v>
      </c>
      <c r="P277" s="81">
        <f>IF(Data!M277="CD",0,1)</f>
        <v>0</v>
      </c>
      <c r="Q277" s="81">
        <f>IF(Data!Q277&gt;Data!P277,DATEDIF(Data!P277,Data!Q277,"d"),0)</f>
        <v>13</v>
      </c>
      <c r="R277" s="81">
        <f>IF(Data!R277&gt;Data!Q277,DATEDIF(Data!Q277,Data!R277,"d"),0)</f>
        <v>34</v>
      </c>
      <c r="X277"/>
      <c r="Y277"/>
      <c r="Z277"/>
    </row>
    <row r="278" spans="2:26" ht="16" x14ac:dyDescent="0.2">
      <c r="B278" s="45"/>
      <c r="C278" s="80">
        <f t="shared" ca="1" si="9"/>
        <v>45959</v>
      </c>
      <c r="D278" s="81">
        <f ca="1">IF(Data!I278&lt;&gt;"",DATEDIF(Data!I278,C278,"m"),0)</f>
        <v>32</v>
      </c>
      <c r="E278" s="82">
        <f t="shared" ca="1" si="10"/>
        <v>2.6666666666666665</v>
      </c>
      <c r="I278" s="81" t="str">
        <f>CONCATENATE(Data!M278,"-",Data!L278)</f>
        <v>CD-VA</v>
      </c>
      <c r="N278" s="81">
        <f>IF(Data!P278,DATEDIF(Data!O278,Data!P278,"d"),0)</f>
        <v>1</v>
      </c>
      <c r="O278" s="81">
        <f>IF(Data!M278="CD",1,0)</f>
        <v>1</v>
      </c>
      <c r="P278" s="81">
        <f>IF(Data!M278="CD",0,1)</f>
        <v>0</v>
      </c>
      <c r="Q278" s="81">
        <f>IF(Data!Q278&gt;Data!P278,DATEDIF(Data!P278,Data!Q278,"d"),0)</f>
        <v>6</v>
      </c>
      <c r="R278" s="81">
        <f>IF(Data!R278&gt;Data!Q278,DATEDIF(Data!Q278,Data!R278,"d"),0)</f>
        <v>13</v>
      </c>
      <c r="X278"/>
      <c r="Y278"/>
      <c r="Z278"/>
    </row>
    <row r="279" spans="2:26" ht="16" x14ac:dyDescent="0.2">
      <c r="B279" s="45"/>
      <c r="C279" s="80">
        <f t="shared" ca="1" si="9"/>
        <v>45959</v>
      </c>
      <c r="D279" s="81">
        <f ca="1">IF(Data!I279&lt;&gt;"",DATEDIF(Data!I279,C279,"m"),0)</f>
        <v>137</v>
      </c>
      <c r="E279" s="82">
        <f t="shared" ca="1" si="10"/>
        <v>11.416666666666666</v>
      </c>
      <c r="I279" s="81" t="str">
        <f>CONCATENATE(Data!M279,"-",Data!L279)</f>
        <v>CD-BA</v>
      </c>
      <c r="N279" s="81">
        <f>IF(Data!P279,DATEDIF(Data!O279,Data!P279,"d"),0)</f>
        <v>0</v>
      </c>
      <c r="O279" s="81">
        <f>IF(Data!M279="CD",1,0)</f>
        <v>1</v>
      </c>
      <c r="P279" s="81">
        <f>IF(Data!M279="CD",0,1)</f>
        <v>0</v>
      </c>
      <c r="Q279" s="81">
        <f>IF(Data!Q279&gt;Data!P279,DATEDIF(Data!P279,Data!Q279,"d"),0)</f>
        <v>1</v>
      </c>
      <c r="R279" s="81">
        <f>IF(Data!R279&gt;Data!Q279,DATEDIF(Data!Q279,Data!R279,"d"),0)</f>
        <v>12</v>
      </c>
      <c r="X279"/>
      <c r="Y279"/>
      <c r="Z279"/>
    </row>
    <row r="280" spans="2:26" ht="16" x14ac:dyDescent="0.2">
      <c r="B280" s="45"/>
      <c r="C280" s="80">
        <f t="shared" ca="1" si="9"/>
        <v>45959</v>
      </c>
      <c r="D280" s="81">
        <f ca="1">IF(Data!I280&lt;&gt;"",DATEDIF(Data!I280,C280,"m"),0)</f>
        <v>96</v>
      </c>
      <c r="E280" s="82">
        <f t="shared" ca="1" si="10"/>
        <v>8</v>
      </c>
      <c r="I280" s="81" t="str">
        <f>CONCATENATE(Data!M280,"-",Data!L280)</f>
        <v>CD-BA</v>
      </c>
      <c r="N280" s="81">
        <f>IF(Data!P280,DATEDIF(Data!O280,Data!P280,"d"),0)</f>
        <v>0</v>
      </c>
      <c r="O280" s="81">
        <f>IF(Data!M280="CD",1,0)</f>
        <v>1</v>
      </c>
      <c r="P280" s="81">
        <f>IF(Data!M280="CD",0,1)</f>
        <v>0</v>
      </c>
      <c r="Q280" s="81">
        <f>IF(Data!Q280&gt;Data!P280,DATEDIF(Data!P280,Data!Q280,"d"),0)</f>
        <v>1</v>
      </c>
      <c r="R280" s="81">
        <f>IF(Data!R280&gt;Data!Q280,DATEDIF(Data!Q280,Data!R280,"d"),0)</f>
        <v>26</v>
      </c>
      <c r="X280"/>
      <c r="Y280"/>
      <c r="Z280"/>
    </row>
    <row r="281" spans="2:26" ht="16" x14ac:dyDescent="0.2">
      <c r="B281" s="45"/>
      <c r="C281" s="80">
        <f t="shared" ca="1" si="9"/>
        <v>45959</v>
      </c>
      <c r="D281" s="81">
        <f ca="1">IF(Data!I281&lt;&gt;"",DATEDIF(Data!I281,C281,"m"),0)</f>
        <v>12</v>
      </c>
      <c r="E281" s="82">
        <f t="shared" ca="1" si="10"/>
        <v>1</v>
      </c>
      <c r="I281" s="81" t="str">
        <f>CONCATENATE(Data!M281,"-",Data!L281)</f>
        <v>CD-GE</v>
      </c>
      <c r="N281" s="81">
        <f>IF(Data!P281,DATEDIF(Data!O281,Data!P281,"d"),0)</f>
        <v>9</v>
      </c>
      <c r="O281" s="81">
        <f>IF(Data!M281="CD",1,0)</f>
        <v>1</v>
      </c>
      <c r="P281" s="81">
        <f>IF(Data!M281="CD",0,1)</f>
        <v>0</v>
      </c>
      <c r="Q281" s="81">
        <f>IF(Data!Q281&gt;Data!P281,DATEDIF(Data!P281,Data!Q281,"d"),0)</f>
        <v>4</v>
      </c>
      <c r="R281" s="81">
        <f>IF(Data!R281&gt;Data!Q281,DATEDIF(Data!Q281,Data!R281,"d"),0)</f>
        <v>15</v>
      </c>
      <c r="X281"/>
      <c r="Y281"/>
      <c r="Z281"/>
    </row>
    <row r="282" spans="2:26" ht="16" x14ac:dyDescent="0.2">
      <c r="B282" s="45"/>
      <c r="C282" s="80">
        <f t="shared" ca="1" si="9"/>
        <v>45959</v>
      </c>
      <c r="D282" s="81">
        <f ca="1">IF(Data!I282&lt;&gt;"",DATEDIF(Data!I282,C282,"m"),0)</f>
        <v>46</v>
      </c>
      <c r="E282" s="82">
        <f t="shared" ca="1" si="10"/>
        <v>3.8333333333333335</v>
      </c>
      <c r="I282" s="81" t="str">
        <f>CONCATENATE(Data!M282,"-",Data!L282)</f>
        <v>CD-BA</v>
      </c>
      <c r="N282" s="81">
        <f>IF(Data!P282,DATEDIF(Data!O282,Data!P282,"d"),0)</f>
        <v>0</v>
      </c>
      <c r="O282" s="81">
        <f>IF(Data!M282="CD",1,0)</f>
        <v>1</v>
      </c>
      <c r="P282" s="81">
        <f>IF(Data!M282="CD",0,1)</f>
        <v>0</v>
      </c>
      <c r="Q282" s="81">
        <f>IF(Data!Q282&gt;Data!P282,DATEDIF(Data!P282,Data!Q282,"d"),0)</f>
        <v>0</v>
      </c>
      <c r="R282" s="81">
        <f>IF(Data!R282&gt;Data!Q282,DATEDIF(Data!Q282,Data!R282,"d"),0)</f>
        <v>0</v>
      </c>
      <c r="X282"/>
      <c r="Y282"/>
      <c r="Z282"/>
    </row>
    <row r="283" spans="2:26" ht="16" x14ac:dyDescent="0.2">
      <c r="B283" s="45"/>
      <c r="C283" s="80">
        <f t="shared" ca="1" si="9"/>
        <v>45959</v>
      </c>
      <c r="D283" s="81">
        <f ca="1">IF(Data!I283&lt;&gt;"",DATEDIF(Data!I283,C283,"m"),0)</f>
        <v>23</v>
      </c>
      <c r="E283" s="82">
        <f t="shared" ca="1" si="10"/>
        <v>1.9166666666666667</v>
      </c>
      <c r="I283" s="81" t="str">
        <f>CONCATENATE(Data!M283,"-",Data!L283)</f>
        <v>CD-BA</v>
      </c>
      <c r="N283" s="81">
        <f>IF(Data!P283,DATEDIF(Data!O283,Data!P283,"d"),0)</f>
        <v>7</v>
      </c>
      <c r="O283" s="81">
        <f>IF(Data!M283="CD",1,0)</f>
        <v>1</v>
      </c>
      <c r="P283" s="81">
        <f>IF(Data!M283="CD",0,1)</f>
        <v>0</v>
      </c>
      <c r="Q283" s="81">
        <f>IF(Data!Q283&gt;Data!P283,DATEDIF(Data!P283,Data!Q283,"d"),0)</f>
        <v>2</v>
      </c>
      <c r="R283" s="81">
        <f>IF(Data!R283&gt;Data!Q283,DATEDIF(Data!Q283,Data!R283,"d"),0)</f>
        <v>13</v>
      </c>
      <c r="X283"/>
      <c r="Y283"/>
      <c r="Z283"/>
    </row>
    <row r="284" spans="2:26" ht="16" x14ac:dyDescent="0.2">
      <c r="B284" s="45"/>
      <c r="C284" s="80">
        <f t="shared" ca="1" si="9"/>
        <v>45959</v>
      </c>
      <c r="D284" s="81">
        <f ca="1">IF(Data!I284&lt;&gt;"",DATEDIF(Data!I284,C284,"m"),0)</f>
        <v>76</v>
      </c>
      <c r="E284" s="82">
        <f t="shared" ca="1" si="10"/>
        <v>6.333333333333333</v>
      </c>
      <c r="I284" s="81" t="str">
        <f>CONCATENATE(Data!M284,"-",Data!L284)</f>
        <v>CD-GE</v>
      </c>
      <c r="N284" s="81">
        <f>IF(Data!P284,DATEDIF(Data!O284,Data!P284,"d"),0)</f>
        <v>10</v>
      </c>
      <c r="O284" s="81">
        <f>IF(Data!M284="CD",1,0)</f>
        <v>1</v>
      </c>
      <c r="P284" s="81">
        <f>IF(Data!M284="CD",0,1)</f>
        <v>0</v>
      </c>
      <c r="Q284" s="81">
        <f>IF(Data!Q284&gt;Data!P284,DATEDIF(Data!P284,Data!Q284,"d"),0)</f>
        <v>4</v>
      </c>
      <c r="R284" s="81">
        <f>IF(Data!R284&gt;Data!Q284,DATEDIF(Data!Q284,Data!R284,"d"),0)</f>
        <v>28</v>
      </c>
      <c r="X284"/>
      <c r="Y284"/>
      <c r="Z284"/>
    </row>
    <row r="285" spans="2:26" ht="16" x14ac:dyDescent="0.2">
      <c r="B285" s="45"/>
      <c r="C285" s="80">
        <f t="shared" ca="1" si="9"/>
        <v>45959</v>
      </c>
      <c r="D285" s="81">
        <f ca="1">IF(Data!I285&lt;&gt;"",DATEDIF(Data!I285,C285,"m"),0)</f>
        <v>10</v>
      </c>
      <c r="E285" s="82">
        <f t="shared" ca="1" si="10"/>
        <v>0.83333333333333337</v>
      </c>
      <c r="I285" s="81" t="str">
        <f>CONCATENATE(Data!M285,"-",Data!L285)</f>
        <v>CD-GE</v>
      </c>
      <c r="N285" s="81">
        <f>IF(Data!P285,DATEDIF(Data!O285,Data!P285,"d"),0)</f>
        <v>10</v>
      </c>
      <c r="O285" s="81">
        <f>IF(Data!M285="CD",1,0)</f>
        <v>1</v>
      </c>
      <c r="P285" s="81">
        <f>IF(Data!M285="CD",0,1)</f>
        <v>0</v>
      </c>
      <c r="Q285" s="81">
        <f>IF(Data!Q285&gt;Data!P285,DATEDIF(Data!P285,Data!Q285,"d"),0)</f>
        <v>0</v>
      </c>
      <c r="R285" s="81">
        <f>IF(Data!R285&gt;Data!Q285,DATEDIF(Data!Q285,Data!R285,"d"),0)</f>
        <v>4</v>
      </c>
      <c r="X285"/>
      <c r="Y285"/>
      <c r="Z285"/>
    </row>
    <row r="286" spans="2:26" ht="16" x14ac:dyDescent="0.2">
      <c r="B286" s="45"/>
      <c r="C286" s="80">
        <f t="shared" ca="1" si="9"/>
        <v>45959</v>
      </c>
      <c r="D286" s="81">
        <f>IF(Data!I286&lt;&gt;"",DATEDIF(Data!I286,C286,"m"),0)</f>
        <v>0</v>
      </c>
      <c r="E286" s="82">
        <f t="shared" si="10"/>
        <v>0</v>
      </c>
      <c r="I286" s="81" t="str">
        <f>CONCATENATE(Data!M286,"-",Data!L286)</f>
        <v>CD-BA</v>
      </c>
      <c r="N286" s="81">
        <f>IF(Data!P286,DATEDIF(Data!O286,Data!P286,"d"),0)</f>
        <v>0</v>
      </c>
      <c r="O286" s="81">
        <f>IF(Data!M286="CD",1,0)</f>
        <v>1</v>
      </c>
      <c r="P286" s="81">
        <f>IF(Data!M286="CD",0,1)</f>
        <v>0</v>
      </c>
      <c r="Q286" s="81">
        <f>IF(Data!Q286&gt;Data!P286,DATEDIF(Data!P286,Data!Q286,"d"),0)</f>
        <v>4</v>
      </c>
      <c r="R286" s="81">
        <f>IF(Data!R286&gt;Data!Q286,DATEDIF(Data!Q286,Data!R286,"d"),0)</f>
        <v>12</v>
      </c>
      <c r="X286"/>
      <c r="Y286"/>
      <c r="Z286"/>
    </row>
    <row r="287" spans="2:26" ht="16" x14ac:dyDescent="0.2">
      <c r="B287" s="45"/>
      <c r="C287" s="80">
        <f t="shared" ca="1" si="9"/>
        <v>45959</v>
      </c>
      <c r="D287" s="81">
        <f>IF(Data!I287&lt;&gt;"",DATEDIF(Data!I287,C287,"m"),0)</f>
        <v>0</v>
      </c>
      <c r="E287" s="82">
        <f t="shared" si="10"/>
        <v>0</v>
      </c>
      <c r="I287" s="81" t="str">
        <f>CONCATENATE(Data!M287,"-",Data!L287)</f>
        <v>ML-CH</v>
      </c>
      <c r="N287" s="81">
        <f>IF(Data!P287,DATEDIF(Data!O287,Data!P287,"d"),0)</f>
        <v>11</v>
      </c>
      <c r="O287" s="81">
        <f>IF(Data!M287="CD",1,0)</f>
        <v>0</v>
      </c>
      <c r="P287" s="81">
        <f>IF(Data!M287="CD",0,1)</f>
        <v>1</v>
      </c>
      <c r="Q287" s="81">
        <f>IF(Data!Q287&gt;Data!P287,DATEDIF(Data!P287,Data!Q287,"d"),0)</f>
        <v>10</v>
      </c>
      <c r="R287" s="81">
        <f>IF(Data!R287&gt;Data!Q287,DATEDIF(Data!Q287,Data!R287,"d"),0)</f>
        <v>23</v>
      </c>
      <c r="X287"/>
      <c r="Y287"/>
      <c r="Z287"/>
    </row>
    <row r="288" spans="2:26" ht="16" x14ac:dyDescent="0.2">
      <c r="B288" s="45"/>
      <c r="C288" s="80">
        <f t="shared" ca="1" si="9"/>
        <v>45959</v>
      </c>
      <c r="D288" s="81">
        <f ca="1">IF(Data!I288&lt;&gt;"",DATEDIF(Data!I288,C288,"m"),0)</f>
        <v>196</v>
      </c>
      <c r="E288" s="82">
        <f t="shared" ca="1" si="10"/>
        <v>16.333333333333332</v>
      </c>
      <c r="I288" s="81" t="str">
        <f>CONCATENATE(Data!M288,"-",Data!L288)</f>
        <v>CD-VA</v>
      </c>
      <c r="N288" s="81">
        <f>IF(Data!P288,DATEDIF(Data!O288,Data!P288,"d"),0)</f>
        <v>0</v>
      </c>
      <c r="O288" s="81">
        <f>IF(Data!M288="CD",1,0)</f>
        <v>1</v>
      </c>
      <c r="P288" s="81">
        <f>IF(Data!M288="CD",0,1)</f>
        <v>0</v>
      </c>
      <c r="Q288" s="81">
        <f>IF(Data!Q288&gt;Data!P288,DATEDIF(Data!P288,Data!Q288,"d"),0)</f>
        <v>0</v>
      </c>
      <c r="R288" s="81">
        <f>IF(Data!R288&gt;Data!Q288,DATEDIF(Data!Q288,Data!R288,"d"),0)</f>
        <v>0</v>
      </c>
      <c r="X288"/>
      <c r="Y288"/>
      <c r="Z288"/>
    </row>
    <row r="289" spans="2:26" ht="16" x14ac:dyDescent="0.2">
      <c r="B289" s="45"/>
      <c r="C289" s="80">
        <f t="shared" ca="1" si="9"/>
        <v>45959</v>
      </c>
      <c r="D289" s="81">
        <f ca="1">IF(Data!I289&lt;&gt;"",DATEDIF(Data!I289,C289,"m"),0)</f>
        <v>105</v>
      </c>
      <c r="E289" s="82">
        <f t="shared" ca="1" si="10"/>
        <v>8.75</v>
      </c>
      <c r="I289" s="81" t="str">
        <f>CONCATENATE(Data!M289,"-",Data!L289)</f>
        <v>CD-GE</v>
      </c>
      <c r="N289" s="81">
        <f>IF(Data!P289,DATEDIF(Data!O289,Data!P289,"d"),0)</f>
        <v>0</v>
      </c>
      <c r="O289" s="81">
        <f>IF(Data!M289="CD",1,0)</f>
        <v>1</v>
      </c>
      <c r="P289" s="81">
        <f>IF(Data!M289="CD",0,1)</f>
        <v>0</v>
      </c>
      <c r="Q289" s="81">
        <f>IF(Data!Q289&gt;Data!P289,DATEDIF(Data!P289,Data!Q289,"d"),0)</f>
        <v>11</v>
      </c>
      <c r="R289" s="81">
        <f>IF(Data!R289&gt;Data!Q289,DATEDIF(Data!Q289,Data!R289,"d"),0)</f>
        <v>19</v>
      </c>
      <c r="X289"/>
      <c r="Y289"/>
      <c r="Z289"/>
    </row>
    <row r="290" spans="2:26" ht="16" x14ac:dyDescent="0.2">
      <c r="B290" s="45"/>
      <c r="C290" s="80">
        <f t="shared" ca="1" si="9"/>
        <v>45959</v>
      </c>
      <c r="D290" s="81">
        <f ca="1">IF(Data!I290&lt;&gt;"",DATEDIF(Data!I290,C290,"m"),0)</f>
        <v>35</v>
      </c>
      <c r="E290" s="82">
        <f t="shared" ca="1" si="10"/>
        <v>2.9166666666666665</v>
      </c>
      <c r="I290" s="81" t="str">
        <f>CONCATENATE(Data!M290,"-",Data!L290)</f>
        <v>CI-BA</v>
      </c>
      <c r="N290" s="81">
        <f>IF(Data!P290,DATEDIF(Data!O290,Data!P290,"d"),0)</f>
        <v>4</v>
      </c>
      <c r="O290" s="81">
        <f>IF(Data!M290="CD",1,0)</f>
        <v>0</v>
      </c>
      <c r="P290" s="81">
        <f>IF(Data!M290="CD",0,1)</f>
        <v>1</v>
      </c>
      <c r="Q290" s="81">
        <f>IF(Data!Q290&gt;Data!P290,DATEDIF(Data!P290,Data!Q290,"d"),0)</f>
        <v>3</v>
      </c>
      <c r="R290" s="81">
        <f>IF(Data!R290&gt;Data!Q290,DATEDIF(Data!Q290,Data!R290,"d"),0)</f>
        <v>12</v>
      </c>
      <c r="X290"/>
      <c r="Y290"/>
      <c r="Z290"/>
    </row>
    <row r="291" spans="2:26" ht="16" x14ac:dyDescent="0.2">
      <c r="B291" s="45"/>
      <c r="C291" s="80">
        <f t="shared" ca="1" si="9"/>
        <v>45959</v>
      </c>
      <c r="D291" s="81">
        <f ca="1">IF(Data!I291&lt;&gt;"",DATEDIF(Data!I291,C291,"m"),0)</f>
        <v>106</v>
      </c>
      <c r="E291" s="82">
        <f t="shared" ca="1" si="10"/>
        <v>8.8333333333333339</v>
      </c>
      <c r="I291" s="81" t="str">
        <f>CONCATENATE(Data!M291,"-",Data!L291)</f>
        <v>CD-GE</v>
      </c>
      <c r="N291" s="81">
        <f>IF(Data!P291,DATEDIF(Data!O291,Data!P291,"d"),0)</f>
        <v>60</v>
      </c>
      <c r="O291" s="81">
        <f>IF(Data!M291="CD",1,0)</f>
        <v>1</v>
      </c>
      <c r="P291" s="81">
        <f>IF(Data!M291="CD",0,1)</f>
        <v>0</v>
      </c>
      <c r="Q291" s="81">
        <f>IF(Data!Q291&gt;Data!P291,DATEDIF(Data!P291,Data!Q291,"d"),0)</f>
        <v>4</v>
      </c>
      <c r="R291" s="81">
        <f>IF(Data!R291&gt;Data!Q291,DATEDIF(Data!Q291,Data!R291,"d"),0)</f>
        <v>18</v>
      </c>
      <c r="X291"/>
      <c r="Y291"/>
      <c r="Z291"/>
    </row>
    <row r="292" spans="2:26" ht="16" x14ac:dyDescent="0.2">
      <c r="B292" s="45"/>
      <c r="C292" s="80">
        <f t="shared" ca="1" si="9"/>
        <v>45959</v>
      </c>
      <c r="D292" s="81">
        <f>IF(Data!I292&lt;&gt;"",DATEDIF(Data!I292,C292,"m"),0)</f>
        <v>0</v>
      </c>
      <c r="E292" s="82">
        <f t="shared" si="10"/>
        <v>0</v>
      </c>
      <c r="I292" s="81" t="str">
        <f>CONCATENATE(Data!M292,"-",Data!L292)</f>
        <v>CD-VA</v>
      </c>
      <c r="N292" s="81">
        <f>IF(Data!P292,DATEDIF(Data!O292,Data!P292,"d"),0)</f>
        <v>0</v>
      </c>
      <c r="O292" s="81">
        <f>IF(Data!M292="CD",1,0)</f>
        <v>1</v>
      </c>
      <c r="P292" s="81">
        <f>IF(Data!M292="CD",0,1)</f>
        <v>0</v>
      </c>
      <c r="Q292" s="81">
        <f>IF(Data!Q292&gt;Data!P292,DATEDIF(Data!P292,Data!Q292,"d"),0)</f>
        <v>18</v>
      </c>
      <c r="R292" s="81">
        <f>IF(Data!R292&gt;Data!Q292,DATEDIF(Data!Q292,Data!R292,"d"),0)</f>
        <v>8</v>
      </c>
      <c r="X292"/>
      <c r="Y292"/>
      <c r="Z292"/>
    </row>
    <row r="293" spans="2:26" ht="16" x14ac:dyDescent="0.2">
      <c r="B293" s="45"/>
      <c r="C293" s="80">
        <f t="shared" ca="1" si="9"/>
        <v>45959</v>
      </c>
      <c r="D293" s="81">
        <f>IF(Data!I293&lt;&gt;"",DATEDIF(Data!I293,C293,"m"),0)</f>
        <v>0</v>
      </c>
      <c r="E293" s="82">
        <f t="shared" si="10"/>
        <v>0</v>
      </c>
      <c r="I293" s="81" t="str">
        <f>CONCATENATE(Data!M293,"-",Data!L293)</f>
        <v>AI-GE</v>
      </c>
      <c r="N293" s="81">
        <f>IF(Data!P293,DATEDIF(Data!O293,Data!P293,"d"),0)</f>
        <v>16</v>
      </c>
      <c r="O293" s="81">
        <f>IF(Data!M293="CD",1,0)</f>
        <v>0</v>
      </c>
      <c r="P293" s="81">
        <f>IF(Data!M293="CD",0,1)</f>
        <v>1</v>
      </c>
      <c r="Q293" s="81">
        <f>IF(Data!Q293&gt;Data!P293,DATEDIF(Data!P293,Data!Q293,"d"),0)</f>
        <v>0</v>
      </c>
      <c r="R293" s="81">
        <f>IF(Data!R293&gt;Data!Q293,DATEDIF(Data!Q293,Data!R293,"d"),0)</f>
        <v>11</v>
      </c>
      <c r="X293"/>
      <c r="Y293"/>
      <c r="Z293"/>
    </row>
    <row r="294" spans="2:26" ht="16" x14ac:dyDescent="0.2">
      <c r="B294" s="45"/>
      <c r="C294" s="80">
        <f t="shared" ca="1" si="9"/>
        <v>45959</v>
      </c>
      <c r="D294" s="81">
        <f>IF(Data!I294&lt;&gt;"",DATEDIF(Data!I294,C294,"m"),0)</f>
        <v>0</v>
      </c>
      <c r="E294" s="82">
        <f t="shared" si="10"/>
        <v>0</v>
      </c>
      <c r="I294" s="81" t="str">
        <f>CONCATENATE(Data!M294,"-",Data!L294)</f>
        <v>CD-BA</v>
      </c>
      <c r="N294" s="81">
        <f>IF(Data!P294,DATEDIF(Data!O294,Data!P294,"d"),0)</f>
        <v>0</v>
      </c>
      <c r="O294" s="81">
        <f>IF(Data!M294="CD",1,0)</f>
        <v>1</v>
      </c>
      <c r="P294" s="81">
        <f>IF(Data!M294="CD",0,1)</f>
        <v>0</v>
      </c>
      <c r="Q294" s="81">
        <f>IF(Data!Q294&gt;Data!P294,DATEDIF(Data!P294,Data!Q294,"d"),0)</f>
        <v>0</v>
      </c>
      <c r="R294" s="81">
        <f>IF(Data!R294&gt;Data!Q294,DATEDIF(Data!Q294,Data!R294,"d"),0)</f>
        <v>6</v>
      </c>
      <c r="X294"/>
      <c r="Y294"/>
      <c r="Z294"/>
    </row>
    <row r="295" spans="2:26" ht="16" x14ac:dyDescent="0.2">
      <c r="B295" s="45"/>
      <c r="C295" s="80">
        <f t="shared" ca="1" si="9"/>
        <v>45959</v>
      </c>
      <c r="D295" s="81">
        <f>IF(Data!I295&lt;&gt;"",DATEDIF(Data!I295,C295,"m"),0)</f>
        <v>0</v>
      </c>
      <c r="E295" s="82">
        <f t="shared" si="10"/>
        <v>0</v>
      </c>
      <c r="I295" s="81" t="str">
        <f>CONCATENATE(Data!M295,"-",Data!L295)</f>
        <v>AI-GE</v>
      </c>
      <c r="N295" s="81">
        <f>IF(Data!P295,DATEDIF(Data!O295,Data!P295,"d"),0)</f>
        <v>65</v>
      </c>
      <c r="O295" s="81">
        <f>IF(Data!M295="CD",1,0)</f>
        <v>0</v>
      </c>
      <c r="P295" s="81">
        <f>IF(Data!M295="CD",0,1)</f>
        <v>1</v>
      </c>
      <c r="Q295" s="81">
        <f>IF(Data!Q295&gt;Data!P295,DATEDIF(Data!P295,Data!Q295,"d"),0)</f>
        <v>0</v>
      </c>
      <c r="R295" s="81">
        <f>IF(Data!R295&gt;Data!Q295,DATEDIF(Data!Q295,Data!R295,"d"),0)</f>
        <v>11</v>
      </c>
      <c r="X295"/>
      <c r="Y295"/>
      <c r="Z295"/>
    </row>
    <row r="296" spans="2:26" ht="16" x14ac:dyDescent="0.2">
      <c r="B296" s="45"/>
      <c r="C296" s="80">
        <f t="shared" ca="1" si="9"/>
        <v>45959</v>
      </c>
      <c r="D296" s="81">
        <f>IF(Data!I296&lt;&gt;"",DATEDIF(Data!I296,C296,"m"),0)</f>
        <v>0</v>
      </c>
      <c r="E296" s="82">
        <f t="shared" si="10"/>
        <v>0</v>
      </c>
      <c r="I296" s="81" t="str">
        <f>CONCATENATE(Data!M296,"-",Data!L296)</f>
        <v>CD-GE</v>
      </c>
      <c r="N296" s="81">
        <f>IF(Data!P296,DATEDIF(Data!O296,Data!P296,"d"),0)</f>
        <v>17</v>
      </c>
      <c r="O296" s="81">
        <f>IF(Data!M296="CD",1,0)</f>
        <v>1</v>
      </c>
      <c r="P296" s="81">
        <f>IF(Data!M296="CD",0,1)</f>
        <v>0</v>
      </c>
      <c r="Q296" s="81">
        <f>IF(Data!Q296&gt;Data!P296,DATEDIF(Data!P296,Data!Q296,"d"),0)</f>
        <v>0</v>
      </c>
      <c r="R296" s="81">
        <f>IF(Data!R296&gt;Data!Q296,DATEDIF(Data!Q296,Data!R296,"d"),0)</f>
        <v>14</v>
      </c>
      <c r="X296"/>
      <c r="Y296"/>
      <c r="Z296"/>
    </row>
    <row r="297" spans="2:26" ht="16" x14ac:dyDescent="0.2">
      <c r="B297" s="45"/>
      <c r="C297" s="80">
        <f t="shared" ca="1" si="9"/>
        <v>45959</v>
      </c>
      <c r="D297" s="81">
        <f ca="1">IF(Data!I297&lt;&gt;"",DATEDIF(Data!I297,C297,"m"),0)</f>
        <v>52</v>
      </c>
      <c r="E297" s="82">
        <f t="shared" ca="1" si="10"/>
        <v>4.333333333333333</v>
      </c>
      <c r="I297" s="81" t="str">
        <f>CONCATENATE(Data!M297,"-",Data!L297)</f>
        <v>CD-BA</v>
      </c>
      <c r="N297" s="81">
        <f>IF(Data!P297,DATEDIF(Data!O297,Data!P297,"d"),0)</f>
        <v>0</v>
      </c>
      <c r="O297" s="81">
        <f>IF(Data!M297="CD",1,0)</f>
        <v>1</v>
      </c>
      <c r="P297" s="81">
        <f>IF(Data!M297="CD",0,1)</f>
        <v>0</v>
      </c>
      <c r="Q297" s="81">
        <f>IF(Data!Q297&gt;Data!P297,DATEDIF(Data!P297,Data!Q297,"d"),0)</f>
        <v>1</v>
      </c>
      <c r="R297" s="81">
        <f>IF(Data!R297&gt;Data!Q297,DATEDIF(Data!Q297,Data!R297,"d"),0)</f>
        <v>6</v>
      </c>
      <c r="X297"/>
      <c r="Y297"/>
      <c r="Z297"/>
    </row>
    <row r="298" spans="2:26" ht="16" x14ac:dyDescent="0.2">
      <c r="B298" s="45"/>
      <c r="C298" s="80">
        <f t="shared" ca="1" si="9"/>
        <v>45959</v>
      </c>
      <c r="D298" s="81">
        <f ca="1">IF(Data!I298&lt;&gt;"",DATEDIF(Data!I298,C298,"m"),0)</f>
        <v>104</v>
      </c>
      <c r="E298" s="82">
        <f t="shared" ca="1" si="10"/>
        <v>8.6666666666666661</v>
      </c>
      <c r="I298" s="81" t="str">
        <f>CONCATENATE(Data!M298,"-",Data!L298)</f>
        <v>CD-BA</v>
      </c>
      <c r="N298" s="81">
        <f>IF(Data!P298,DATEDIF(Data!O298,Data!P298,"d"),0)</f>
        <v>0</v>
      </c>
      <c r="O298" s="81">
        <f>IF(Data!M298="CD",1,0)</f>
        <v>1</v>
      </c>
      <c r="P298" s="81">
        <f>IF(Data!M298="CD",0,1)</f>
        <v>0</v>
      </c>
      <c r="Q298" s="81">
        <f>IF(Data!Q298&gt;Data!P298,DATEDIF(Data!P298,Data!Q298,"d"),0)</f>
        <v>17</v>
      </c>
      <c r="R298" s="81">
        <f>IF(Data!R298&gt;Data!Q298,DATEDIF(Data!Q298,Data!R298,"d"),0)</f>
        <v>0</v>
      </c>
      <c r="X298"/>
      <c r="Y298"/>
      <c r="Z298"/>
    </row>
    <row r="299" spans="2:26" ht="16" x14ac:dyDescent="0.2">
      <c r="B299" s="45"/>
      <c r="C299" s="80">
        <f t="shared" ca="1" si="9"/>
        <v>45959</v>
      </c>
      <c r="D299" s="81">
        <f>IF(Data!I299&lt;&gt;"",DATEDIF(Data!I299,C299,"m"),0)</f>
        <v>0</v>
      </c>
      <c r="E299" s="82">
        <f t="shared" si="10"/>
        <v>0</v>
      </c>
      <c r="I299" s="81" t="str">
        <f>CONCATENATE(Data!M299,"-",Data!L299)</f>
        <v>AI-GE</v>
      </c>
      <c r="N299" s="81">
        <f>IF(Data!P299,DATEDIF(Data!O299,Data!P299,"d"),0)</f>
        <v>18</v>
      </c>
      <c r="O299" s="81">
        <f>IF(Data!M299="CD",1,0)</f>
        <v>0</v>
      </c>
      <c r="P299" s="81">
        <f>IF(Data!M299="CD",0,1)</f>
        <v>1</v>
      </c>
      <c r="Q299" s="81">
        <f>IF(Data!Q299&gt;Data!P299,DATEDIF(Data!P299,Data!Q299,"d"),0)</f>
        <v>0</v>
      </c>
      <c r="R299" s="81">
        <f>IF(Data!R299&gt;Data!Q299,DATEDIF(Data!Q299,Data!R299,"d"),0)</f>
        <v>31</v>
      </c>
      <c r="X299"/>
      <c r="Y299"/>
      <c r="Z299"/>
    </row>
    <row r="300" spans="2:26" ht="16" x14ac:dyDescent="0.2">
      <c r="B300" s="45"/>
      <c r="C300" s="80">
        <f t="shared" ca="1" si="9"/>
        <v>45959</v>
      </c>
      <c r="D300" s="81">
        <f ca="1">IF(Data!I300&lt;&gt;"",DATEDIF(Data!I300,C300,"m"),0)</f>
        <v>66</v>
      </c>
      <c r="E300" s="82">
        <f t="shared" ca="1" si="10"/>
        <v>5.5</v>
      </c>
      <c r="I300" s="81" t="str">
        <f>CONCATENATE(Data!M300,"-",Data!L300)</f>
        <v>CD-GE</v>
      </c>
      <c r="N300" s="81">
        <f>IF(Data!P300,DATEDIF(Data!O300,Data!P300,"d"),0)</f>
        <v>1</v>
      </c>
      <c r="O300" s="81">
        <f>IF(Data!M300="CD",1,0)</f>
        <v>1</v>
      </c>
      <c r="P300" s="81">
        <f>IF(Data!M300="CD",0,1)</f>
        <v>0</v>
      </c>
      <c r="Q300" s="81">
        <f>IF(Data!Q300&gt;Data!P300,DATEDIF(Data!P300,Data!Q300,"d"),0)</f>
        <v>1</v>
      </c>
      <c r="R300" s="81">
        <f>IF(Data!R300&gt;Data!Q300,DATEDIF(Data!Q300,Data!R300,"d"),0)</f>
        <v>15</v>
      </c>
      <c r="X300"/>
      <c r="Y300"/>
      <c r="Z300"/>
    </row>
    <row r="301" spans="2:26" ht="16" x14ac:dyDescent="0.2">
      <c r="B301" s="45"/>
      <c r="C301" s="80">
        <f t="shared" ca="1" si="9"/>
        <v>45959</v>
      </c>
      <c r="D301" s="81">
        <f ca="1">IF(Data!I301&lt;&gt;"",DATEDIF(Data!I301,C301,"m"),0)</f>
        <v>41</v>
      </c>
      <c r="E301" s="82">
        <f t="shared" ca="1" si="10"/>
        <v>3.4166666666666665</v>
      </c>
      <c r="I301" s="81" t="str">
        <f>CONCATENATE(Data!M301,"-",Data!L301)</f>
        <v>CD-GE</v>
      </c>
      <c r="N301" s="81">
        <f>IF(Data!P301,DATEDIF(Data!O301,Data!P301,"d"),0)</f>
        <v>0</v>
      </c>
      <c r="O301" s="81">
        <f>IF(Data!M301="CD",1,0)</f>
        <v>1</v>
      </c>
      <c r="P301" s="81">
        <f>IF(Data!M301="CD",0,1)</f>
        <v>0</v>
      </c>
      <c r="Q301" s="81">
        <f>IF(Data!Q301&gt;Data!P301,DATEDIF(Data!P301,Data!Q301,"d"),0)</f>
        <v>35</v>
      </c>
      <c r="R301" s="81">
        <f>IF(Data!R301&gt;Data!Q301,DATEDIF(Data!Q301,Data!R301,"d"),0)</f>
        <v>0</v>
      </c>
      <c r="X301"/>
      <c r="Y301"/>
      <c r="Z301"/>
    </row>
    <row r="302" spans="2:26" ht="16" x14ac:dyDescent="0.2">
      <c r="B302" s="45"/>
      <c r="C302" s="80">
        <f t="shared" ca="1" si="9"/>
        <v>45959</v>
      </c>
      <c r="D302" s="81">
        <f ca="1">IF(Data!I302&lt;&gt;"",DATEDIF(Data!I302,C302,"m"),0)</f>
        <v>9</v>
      </c>
      <c r="E302" s="82">
        <f t="shared" ca="1" si="10"/>
        <v>0.75</v>
      </c>
      <c r="I302" s="81" t="str">
        <f>CONCATENATE(Data!M302,"-",Data!L302)</f>
        <v>AI-GE</v>
      </c>
      <c r="N302" s="81">
        <f>IF(Data!P302,DATEDIF(Data!O302,Data!P302,"d"),0)</f>
        <v>18</v>
      </c>
      <c r="O302" s="81">
        <f>IF(Data!M302="CD",1,0)</f>
        <v>0</v>
      </c>
      <c r="P302" s="81">
        <f>IF(Data!M302="CD",0,1)</f>
        <v>1</v>
      </c>
      <c r="Q302" s="81">
        <f>IF(Data!Q302&gt;Data!P302,DATEDIF(Data!P302,Data!Q302,"d"),0)</f>
        <v>0</v>
      </c>
      <c r="R302" s="81">
        <f>IF(Data!R302&gt;Data!Q302,DATEDIF(Data!Q302,Data!R302,"d"),0)</f>
        <v>12</v>
      </c>
      <c r="X302"/>
      <c r="Y302"/>
      <c r="Z302"/>
    </row>
    <row r="303" spans="2:26" ht="16" x14ac:dyDescent="0.2">
      <c r="B303" s="45"/>
      <c r="C303" s="80">
        <f t="shared" ca="1" si="9"/>
        <v>45959</v>
      </c>
      <c r="D303" s="81">
        <f ca="1">IF(Data!I303&lt;&gt;"",DATEDIF(Data!I303,C303,"m"),0)</f>
        <v>17</v>
      </c>
      <c r="E303" s="82">
        <f t="shared" ca="1" si="10"/>
        <v>1.4166666666666667</v>
      </c>
      <c r="I303" s="81" t="str">
        <f>CONCATENATE(Data!M303,"-",Data!L303)</f>
        <v>CD-GE</v>
      </c>
      <c r="N303" s="81">
        <f>IF(Data!P303,DATEDIF(Data!O303,Data!P303,"d"),0)</f>
        <v>0</v>
      </c>
      <c r="O303" s="81">
        <f>IF(Data!M303="CD",1,0)</f>
        <v>1</v>
      </c>
      <c r="P303" s="81">
        <f>IF(Data!M303="CD",0,1)</f>
        <v>0</v>
      </c>
      <c r="Q303" s="81">
        <f>IF(Data!Q303&gt;Data!P303,DATEDIF(Data!P303,Data!Q303,"d"),0)</f>
        <v>21</v>
      </c>
      <c r="R303" s="81">
        <f>IF(Data!R303&gt;Data!Q303,DATEDIF(Data!Q303,Data!R303,"d"),0)</f>
        <v>31</v>
      </c>
      <c r="X303"/>
      <c r="Y303"/>
      <c r="Z303"/>
    </row>
    <row r="304" spans="2:26" ht="16" x14ac:dyDescent="0.2">
      <c r="B304" s="45"/>
      <c r="C304" s="80">
        <f t="shared" ca="1" si="9"/>
        <v>45959</v>
      </c>
      <c r="D304" s="81">
        <f>IF(Data!I304&lt;&gt;"",DATEDIF(Data!I304,C304,"m"),0)</f>
        <v>0</v>
      </c>
      <c r="E304" s="82">
        <f t="shared" si="10"/>
        <v>0</v>
      </c>
      <c r="I304" s="81" t="str">
        <f>CONCATENATE(Data!M304,"-",Data!L304)</f>
        <v>ML-GE</v>
      </c>
      <c r="N304" s="81">
        <f>IF(Data!P304,DATEDIF(Data!O304,Data!P304,"d"),0)</f>
        <v>22</v>
      </c>
      <c r="O304" s="81">
        <f>IF(Data!M304="CD",1,0)</f>
        <v>0</v>
      </c>
      <c r="P304" s="81">
        <f>IF(Data!M304="CD",0,1)</f>
        <v>1</v>
      </c>
      <c r="Q304" s="81">
        <f>IF(Data!Q304&gt;Data!P304,DATEDIF(Data!P304,Data!Q304,"d"),0)</f>
        <v>12</v>
      </c>
      <c r="R304" s="81">
        <f>IF(Data!R304&gt;Data!Q304,DATEDIF(Data!Q304,Data!R304,"d"),0)</f>
        <v>0</v>
      </c>
      <c r="X304"/>
      <c r="Y304"/>
      <c r="Z304"/>
    </row>
    <row r="305" spans="2:26" ht="16" x14ac:dyDescent="0.2">
      <c r="B305" s="45"/>
      <c r="C305" s="80">
        <f t="shared" ca="1" si="9"/>
        <v>45959</v>
      </c>
      <c r="D305" s="81">
        <f ca="1">IF(Data!I305&lt;&gt;"",DATEDIF(Data!I305,C305,"m"),0)</f>
        <v>55</v>
      </c>
      <c r="E305" s="82">
        <f t="shared" ca="1" si="10"/>
        <v>4.583333333333333</v>
      </c>
      <c r="I305" s="81" t="str">
        <f>CONCATENATE(Data!M305,"-",Data!L305)</f>
        <v>CD-VA</v>
      </c>
      <c r="N305" s="81">
        <f>IF(Data!P305,DATEDIF(Data!O305,Data!P305,"d"),0)</f>
        <v>16</v>
      </c>
      <c r="O305" s="81">
        <f>IF(Data!M305="CD",1,0)</f>
        <v>1</v>
      </c>
      <c r="P305" s="81">
        <f>IF(Data!M305="CD",0,1)</f>
        <v>0</v>
      </c>
      <c r="Q305" s="81">
        <f>IF(Data!Q305&gt;Data!P305,DATEDIF(Data!P305,Data!Q305,"d"),0)</f>
        <v>4</v>
      </c>
      <c r="R305" s="81">
        <f>IF(Data!R305&gt;Data!Q305,DATEDIF(Data!Q305,Data!R305,"d"),0)</f>
        <v>20</v>
      </c>
      <c r="X305"/>
      <c r="Y305"/>
      <c r="Z305"/>
    </row>
    <row r="306" spans="2:26" ht="16" x14ac:dyDescent="0.2">
      <c r="B306" s="45"/>
      <c r="C306" s="80">
        <f t="shared" ca="1" si="9"/>
        <v>45959</v>
      </c>
      <c r="D306" s="81">
        <f ca="1">IF(Data!I306&lt;&gt;"",DATEDIF(Data!I306,C306,"m"),0)</f>
        <v>9</v>
      </c>
      <c r="E306" s="82">
        <f t="shared" ca="1" si="10"/>
        <v>0.75</v>
      </c>
      <c r="I306" s="81" t="str">
        <f>CONCATENATE(Data!M306,"-",Data!L306)</f>
        <v>CD-GE</v>
      </c>
      <c r="N306" s="81">
        <f>IF(Data!P306,DATEDIF(Data!O306,Data!P306,"d"),0)</f>
        <v>1</v>
      </c>
      <c r="O306" s="81">
        <f>IF(Data!M306="CD",1,0)</f>
        <v>1</v>
      </c>
      <c r="P306" s="81">
        <f>IF(Data!M306="CD",0,1)</f>
        <v>0</v>
      </c>
      <c r="Q306" s="81">
        <f>IF(Data!Q306&gt;Data!P306,DATEDIF(Data!P306,Data!Q306,"d"),0)</f>
        <v>1</v>
      </c>
      <c r="R306" s="81">
        <f>IF(Data!R306&gt;Data!Q306,DATEDIF(Data!Q306,Data!R306,"d"),0)</f>
        <v>14</v>
      </c>
      <c r="X306"/>
      <c r="Y306"/>
      <c r="Z306"/>
    </row>
    <row r="307" spans="2:26" ht="16" x14ac:dyDescent="0.2">
      <c r="B307" s="45"/>
      <c r="C307" s="80">
        <f t="shared" ca="1" si="9"/>
        <v>45959</v>
      </c>
      <c r="D307" s="81">
        <f ca="1">IF(Data!I307&lt;&gt;"",DATEDIF(Data!I307,C307,"m"),0)</f>
        <v>55</v>
      </c>
      <c r="E307" s="82">
        <f t="shared" ca="1" si="10"/>
        <v>4.583333333333333</v>
      </c>
      <c r="I307" s="81" t="str">
        <f>CONCATENATE(Data!M307,"-",Data!L307)</f>
        <v>CD-BA</v>
      </c>
      <c r="N307" s="81">
        <f>IF(Data!P307,DATEDIF(Data!O307,Data!P307,"d"),0)</f>
        <v>99</v>
      </c>
      <c r="O307" s="81">
        <f>IF(Data!M307="CD",1,0)</f>
        <v>1</v>
      </c>
      <c r="P307" s="81">
        <f>IF(Data!M307="CD",0,1)</f>
        <v>0</v>
      </c>
      <c r="Q307" s="81">
        <f>IF(Data!Q307&gt;Data!P307,DATEDIF(Data!P307,Data!Q307,"d"),0)</f>
        <v>0</v>
      </c>
      <c r="R307" s="81">
        <f>IF(Data!R307&gt;Data!Q307,DATEDIF(Data!Q307,Data!R307,"d"),0)</f>
        <v>24</v>
      </c>
      <c r="X307"/>
      <c r="Y307"/>
      <c r="Z307"/>
    </row>
    <row r="308" spans="2:26" ht="16" x14ac:dyDescent="0.2">
      <c r="B308" s="45"/>
      <c r="C308" s="80">
        <f t="shared" ca="1" si="9"/>
        <v>45959</v>
      </c>
      <c r="D308" s="81">
        <f ca="1">IF(Data!I308&lt;&gt;"",DATEDIF(Data!I308,C308,"m"),0)</f>
        <v>196</v>
      </c>
      <c r="E308" s="82">
        <f t="shared" ca="1" si="10"/>
        <v>16.333333333333332</v>
      </c>
      <c r="I308" s="81" t="str">
        <f>CONCATENATE(Data!M308,"-",Data!L308)</f>
        <v>CD-BA</v>
      </c>
      <c r="N308" s="81">
        <f>IF(Data!P308,DATEDIF(Data!O308,Data!P308,"d"),0)</f>
        <v>6</v>
      </c>
      <c r="O308" s="81">
        <f>IF(Data!M308="CD",1,0)</f>
        <v>1</v>
      </c>
      <c r="P308" s="81">
        <f>IF(Data!M308="CD",0,1)</f>
        <v>0</v>
      </c>
      <c r="Q308" s="81">
        <f>IF(Data!Q308&gt;Data!P308,DATEDIF(Data!P308,Data!Q308,"d"),0)</f>
        <v>0</v>
      </c>
      <c r="R308" s="81">
        <f>IF(Data!R308&gt;Data!Q308,DATEDIF(Data!Q308,Data!R308,"d"),0)</f>
        <v>4</v>
      </c>
      <c r="X308"/>
      <c r="Y308"/>
      <c r="Z308"/>
    </row>
    <row r="309" spans="2:26" ht="16" x14ac:dyDescent="0.2">
      <c r="B309" s="45"/>
      <c r="C309" s="80">
        <f t="shared" ca="1" si="9"/>
        <v>45959</v>
      </c>
      <c r="D309" s="81">
        <f ca="1">IF(Data!I309&lt;&gt;"",DATEDIF(Data!I309,C309,"m"),0)</f>
        <v>76</v>
      </c>
      <c r="E309" s="82">
        <f t="shared" ca="1" si="10"/>
        <v>6.333333333333333</v>
      </c>
      <c r="I309" s="81" t="str">
        <f>CONCATENATE(Data!M309,"-",Data!L309)</f>
        <v>AI-GE</v>
      </c>
      <c r="N309" s="81">
        <f>IF(Data!P309,DATEDIF(Data!O309,Data!P309,"d"),0)</f>
        <v>2</v>
      </c>
      <c r="O309" s="81">
        <f>IF(Data!M309="CD",1,0)</f>
        <v>0</v>
      </c>
      <c r="P309" s="81">
        <f>IF(Data!M309="CD",0,1)</f>
        <v>1</v>
      </c>
      <c r="Q309" s="81">
        <f>IF(Data!Q309&gt;Data!P309,DATEDIF(Data!P309,Data!Q309,"d"),0)</f>
        <v>1</v>
      </c>
      <c r="R309" s="81">
        <f>IF(Data!R309&gt;Data!Q309,DATEDIF(Data!Q309,Data!R309,"d"),0)</f>
        <v>25</v>
      </c>
      <c r="X309"/>
      <c r="Y309"/>
      <c r="Z309"/>
    </row>
    <row r="310" spans="2:26" ht="16" x14ac:dyDescent="0.2">
      <c r="B310" s="45"/>
      <c r="C310" s="80">
        <f t="shared" ca="1" si="9"/>
        <v>45959</v>
      </c>
      <c r="D310" s="81">
        <f ca="1">IF(Data!I310&lt;&gt;"",DATEDIF(Data!I310,C310,"m"),0)</f>
        <v>14</v>
      </c>
      <c r="E310" s="82">
        <f t="shared" ca="1" si="10"/>
        <v>1.1666666666666667</v>
      </c>
      <c r="I310" s="81" t="str">
        <f>CONCATENATE(Data!M310,"-",Data!L310)</f>
        <v>CI-GE</v>
      </c>
      <c r="N310" s="81">
        <f>IF(Data!P310,DATEDIF(Data!O310,Data!P310,"d"),0)</f>
        <v>2</v>
      </c>
      <c r="O310" s="81">
        <f>IF(Data!M310="CD",1,0)</f>
        <v>0</v>
      </c>
      <c r="P310" s="81">
        <f>IF(Data!M310="CD",0,1)</f>
        <v>1</v>
      </c>
      <c r="Q310" s="81">
        <f>IF(Data!Q310&gt;Data!P310,DATEDIF(Data!P310,Data!Q310,"d"),0)</f>
        <v>4</v>
      </c>
      <c r="R310" s="81">
        <f>IF(Data!R310&gt;Data!Q310,DATEDIF(Data!Q310,Data!R310,"d"),0)</f>
        <v>14</v>
      </c>
      <c r="X310"/>
      <c r="Y310"/>
      <c r="Z310"/>
    </row>
    <row r="311" spans="2:26" ht="16" x14ac:dyDescent="0.2">
      <c r="B311" s="45"/>
      <c r="C311" s="80">
        <f t="shared" ca="1" si="9"/>
        <v>45959</v>
      </c>
      <c r="D311" s="81">
        <f ca="1">IF(Data!I311&lt;&gt;"",DATEDIF(Data!I311,C311,"m"),0)</f>
        <v>193</v>
      </c>
      <c r="E311" s="82">
        <f t="shared" ca="1" si="10"/>
        <v>16.083333333333332</v>
      </c>
      <c r="I311" s="81" t="str">
        <f>CONCATENATE(Data!M311,"-",Data!L311)</f>
        <v>CD-CH</v>
      </c>
      <c r="N311" s="81">
        <f>IF(Data!P311,DATEDIF(Data!O311,Data!P311,"d"),0)</f>
        <v>1</v>
      </c>
      <c r="O311" s="81">
        <f>IF(Data!M311="CD",1,0)</f>
        <v>1</v>
      </c>
      <c r="P311" s="81">
        <f>IF(Data!M311="CD",0,1)</f>
        <v>0</v>
      </c>
      <c r="Q311" s="81">
        <f>IF(Data!Q311&gt;Data!P311,DATEDIF(Data!P311,Data!Q311,"d"),0)</f>
        <v>2</v>
      </c>
      <c r="R311" s="81">
        <f>IF(Data!R311&gt;Data!Q311,DATEDIF(Data!Q311,Data!R311,"d"),0)</f>
        <v>19</v>
      </c>
      <c r="X311"/>
      <c r="Y311"/>
      <c r="Z311"/>
    </row>
    <row r="312" spans="2:26" ht="16" x14ac:dyDescent="0.2">
      <c r="B312" s="45"/>
      <c r="C312" s="80">
        <f t="shared" ca="1" si="9"/>
        <v>45959</v>
      </c>
      <c r="D312" s="81">
        <f ca="1">IF(Data!I312&lt;&gt;"",DATEDIF(Data!I312,C312,"m"),0)</f>
        <v>106</v>
      </c>
      <c r="E312" s="82">
        <f t="shared" ca="1" si="10"/>
        <v>8.8333333333333339</v>
      </c>
      <c r="I312" s="81" t="str">
        <f>CONCATENATE(Data!M312,"-",Data!L312)</f>
        <v>CD-GE</v>
      </c>
      <c r="N312" s="81">
        <f>IF(Data!P312,DATEDIF(Data!O312,Data!P312,"d"),0)</f>
        <v>2</v>
      </c>
      <c r="O312" s="81">
        <f>IF(Data!M312="CD",1,0)</f>
        <v>1</v>
      </c>
      <c r="P312" s="81">
        <f>IF(Data!M312="CD",0,1)</f>
        <v>0</v>
      </c>
      <c r="Q312" s="81">
        <f>IF(Data!Q312&gt;Data!P312,DATEDIF(Data!P312,Data!Q312,"d"),0)</f>
        <v>4</v>
      </c>
      <c r="R312" s="81">
        <f>IF(Data!R312&gt;Data!Q312,DATEDIF(Data!Q312,Data!R312,"d"),0)</f>
        <v>30</v>
      </c>
      <c r="X312"/>
      <c r="Y312"/>
      <c r="Z312"/>
    </row>
    <row r="313" spans="2:26" ht="16" x14ac:dyDescent="0.2">
      <c r="B313" s="45"/>
      <c r="C313" s="80">
        <f t="shared" ca="1" si="9"/>
        <v>45959</v>
      </c>
      <c r="D313" s="81">
        <f>IF(Data!I313&lt;&gt;"",DATEDIF(Data!I313,C313,"m"),0)</f>
        <v>0</v>
      </c>
      <c r="E313" s="82">
        <f t="shared" si="10"/>
        <v>0</v>
      </c>
      <c r="I313" s="81" t="str">
        <f>CONCATENATE(Data!M313,"-",Data!L313)</f>
        <v>CD-BA</v>
      </c>
      <c r="N313" s="81">
        <f>IF(Data!P313,DATEDIF(Data!O313,Data!P313,"d"),0)</f>
        <v>7</v>
      </c>
      <c r="O313" s="81">
        <f>IF(Data!M313="CD",1,0)</f>
        <v>1</v>
      </c>
      <c r="P313" s="81">
        <f>IF(Data!M313="CD",0,1)</f>
        <v>0</v>
      </c>
      <c r="Q313" s="81">
        <f>IF(Data!Q313&gt;Data!P313,DATEDIF(Data!P313,Data!Q313,"d"),0)</f>
        <v>0</v>
      </c>
      <c r="R313" s="81">
        <f>IF(Data!R313&gt;Data!Q313,DATEDIF(Data!Q313,Data!R313,"d"),0)</f>
        <v>15</v>
      </c>
      <c r="X313"/>
      <c r="Y313"/>
      <c r="Z313"/>
    </row>
    <row r="314" spans="2:26" ht="16" x14ac:dyDescent="0.2">
      <c r="B314" s="45"/>
      <c r="C314" s="80">
        <f t="shared" ca="1" si="9"/>
        <v>45959</v>
      </c>
      <c r="D314" s="81">
        <f ca="1">IF(Data!I314&lt;&gt;"",DATEDIF(Data!I314,C314,"m"),0)</f>
        <v>117</v>
      </c>
      <c r="E314" s="82">
        <f t="shared" ca="1" si="10"/>
        <v>9.75</v>
      </c>
      <c r="I314" s="81" t="str">
        <f>CONCATENATE(Data!M314,"-",Data!L314)</f>
        <v>CD-CH</v>
      </c>
      <c r="N314" s="81">
        <f>IF(Data!P314,DATEDIF(Data!O314,Data!P314,"d"),0)</f>
        <v>1</v>
      </c>
      <c r="O314" s="81">
        <f>IF(Data!M314="CD",1,0)</f>
        <v>1</v>
      </c>
      <c r="P314" s="81">
        <f>IF(Data!M314="CD",0,1)</f>
        <v>0</v>
      </c>
      <c r="Q314" s="81">
        <f>IF(Data!Q314&gt;Data!P314,DATEDIF(Data!P314,Data!Q314,"d"),0)</f>
        <v>10</v>
      </c>
      <c r="R314" s="81">
        <f>IF(Data!R314&gt;Data!Q314,DATEDIF(Data!Q314,Data!R314,"d"),0)</f>
        <v>12</v>
      </c>
      <c r="X314"/>
      <c r="Y314"/>
      <c r="Z314"/>
    </row>
    <row r="315" spans="2:26" ht="16" x14ac:dyDescent="0.2">
      <c r="B315" s="45"/>
      <c r="C315" s="80">
        <f t="shared" ca="1" si="9"/>
        <v>45959</v>
      </c>
      <c r="D315" s="81">
        <f>IF(Data!I315&lt;&gt;"",DATEDIF(Data!I315,C315,"m"),0)</f>
        <v>0</v>
      </c>
      <c r="E315" s="82">
        <f t="shared" si="10"/>
        <v>0</v>
      </c>
      <c r="I315" s="81" t="str">
        <f>CONCATENATE(Data!M315,"-",Data!L315)</f>
        <v>SR-GE</v>
      </c>
      <c r="N315" s="81">
        <f>IF(Data!P315,DATEDIF(Data!O315,Data!P315,"d"),0)</f>
        <v>72</v>
      </c>
      <c r="O315" s="81">
        <f>IF(Data!M315="CD",1,0)</f>
        <v>0</v>
      </c>
      <c r="P315" s="81">
        <f>IF(Data!M315="CD",0,1)</f>
        <v>1</v>
      </c>
      <c r="Q315" s="81">
        <f>IF(Data!Q315&gt;Data!P315,DATEDIF(Data!P315,Data!Q315,"d"),0)</f>
        <v>0</v>
      </c>
      <c r="R315" s="81">
        <f>IF(Data!R315&gt;Data!Q315,DATEDIF(Data!Q315,Data!R315,"d"),0)</f>
        <v>34</v>
      </c>
      <c r="X315"/>
      <c r="Y315"/>
      <c r="Z315"/>
    </row>
    <row r="316" spans="2:26" ht="16" x14ac:dyDescent="0.2">
      <c r="B316" s="45"/>
      <c r="C316" s="80">
        <f t="shared" ca="1" si="9"/>
        <v>45959</v>
      </c>
      <c r="D316" s="81">
        <f ca="1">IF(Data!I316&lt;&gt;"",DATEDIF(Data!I316,C316,"m"),0)</f>
        <v>49</v>
      </c>
      <c r="E316" s="82">
        <f t="shared" ca="1" si="10"/>
        <v>4.083333333333333</v>
      </c>
      <c r="I316" s="81" t="str">
        <f>CONCATENATE(Data!M316,"-",Data!L316)</f>
        <v>CD-BA</v>
      </c>
      <c r="N316" s="81">
        <f>IF(Data!P316,DATEDIF(Data!O316,Data!P316,"d"),0)</f>
        <v>0</v>
      </c>
      <c r="O316" s="81">
        <f>IF(Data!M316="CD",1,0)</f>
        <v>1</v>
      </c>
      <c r="P316" s="81">
        <f>IF(Data!M316="CD",0,1)</f>
        <v>0</v>
      </c>
      <c r="Q316" s="81">
        <f>IF(Data!Q316&gt;Data!P316,DATEDIF(Data!P316,Data!Q316,"d"),0)</f>
        <v>11</v>
      </c>
      <c r="R316" s="81">
        <f>IF(Data!R316&gt;Data!Q316,DATEDIF(Data!Q316,Data!R316,"d"),0)</f>
        <v>21</v>
      </c>
      <c r="X316"/>
      <c r="Y316"/>
      <c r="Z316"/>
    </row>
    <row r="317" spans="2:26" ht="16" x14ac:dyDescent="0.2">
      <c r="B317" s="45"/>
      <c r="C317" s="80">
        <f t="shared" ca="1" si="9"/>
        <v>45959</v>
      </c>
      <c r="D317" s="81">
        <f>IF(Data!I317&lt;&gt;"",DATEDIF(Data!I317,C317,"m"),0)</f>
        <v>0</v>
      </c>
      <c r="E317" s="82">
        <f t="shared" si="10"/>
        <v>0</v>
      </c>
      <c r="I317" s="81" t="str">
        <f>CONCATENATE(Data!M317,"-",Data!L317)</f>
        <v>AI-GE</v>
      </c>
      <c r="N317" s="81">
        <f>IF(Data!P317,DATEDIF(Data!O317,Data!P317,"d"),0)</f>
        <v>0</v>
      </c>
      <c r="O317" s="81">
        <f>IF(Data!M317="CD",1,0)</f>
        <v>0</v>
      </c>
      <c r="P317" s="81">
        <f>IF(Data!M317="CD",0,1)</f>
        <v>1</v>
      </c>
      <c r="Q317" s="81">
        <f>IF(Data!Q317&gt;Data!P317,DATEDIF(Data!P317,Data!Q317,"d"),0)</f>
        <v>0</v>
      </c>
      <c r="R317" s="81">
        <f>IF(Data!R317&gt;Data!Q317,DATEDIF(Data!Q317,Data!R317,"d"),0)</f>
        <v>0</v>
      </c>
      <c r="X317"/>
      <c r="Y317"/>
      <c r="Z317"/>
    </row>
    <row r="318" spans="2:26" ht="16" x14ac:dyDescent="0.2">
      <c r="B318" s="45"/>
      <c r="C318" s="80">
        <f t="shared" ca="1" si="9"/>
        <v>45959</v>
      </c>
      <c r="D318" s="81">
        <f ca="1">IF(Data!I318&lt;&gt;"",DATEDIF(Data!I318,C318,"m"),0)</f>
        <v>16</v>
      </c>
      <c r="E318" s="82">
        <f t="shared" ca="1" si="10"/>
        <v>1.3333333333333333</v>
      </c>
      <c r="I318" s="81" t="str">
        <f>CONCATENATE(Data!M318,"-",Data!L318)</f>
        <v>CD-BA</v>
      </c>
      <c r="N318" s="81">
        <f>IF(Data!P318,DATEDIF(Data!O318,Data!P318,"d"),0)</f>
        <v>13</v>
      </c>
      <c r="O318" s="81">
        <f>IF(Data!M318="CD",1,0)</f>
        <v>1</v>
      </c>
      <c r="P318" s="81">
        <f>IF(Data!M318="CD",0,1)</f>
        <v>0</v>
      </c>
      <c r="Q318" s="81">
        <f>IF(Data!Q318&gt;Data!P318,DATEDIF(Data!P318,Data!Q318,"d"),0)</f>
        <v>17</v>
      </c>
      <c r="R318" s="81">
        <f>IF(Data!R318&gt;Data!Q318,DATEDIF(Data!Q318,Data!R318,"d"),0)</f>
        <v>0</v>
      </c>
      <c r="X318"/>
      <c r="Y318"/>
      <c r="Z318"/>
    </row>
    <row r="319" spans="2:26" ht="16" x14ac:dyDescent="0.2">
      <c r="B319" s="45"/>
      <c r="C319" s="80">
        <f t="shared" ca="1" si="9"/>
        <v>45959</v>
      </c>
      <c r="D319" s="81">
        <f ca="1">IF(Data!I319&lt;&gt;"",DATEDIF(Data!I319,C319,"m"),0)</f>
        <v>68</v>
      </c>
      <c r="E319" s="82">
        <f t="shared" ca="1" si="10"/>
        <v>5.666666666666667</v>
      </c>
      <c r="I319" s="81" t="str">
        <f>CONCATENATE(Data!M319,"-",Data!L319)</f>
        <v>CD-GE</v>
      </c>
      <c r="N319" s="81">
        <f>IF(Data!P319,DATEDIF(Data!O319,Data!P319,"d"),0)</f>
        <v>9</v>
      </c>
      <c r="O319" s="81">
        <f>IF(Data!M319="CD",1,0)</f>
        <v>1</v>
      </c>
      <c r="P319" s="81">
        <f>IF(Data!M319="CD",0,1)</f>
        <v>0</v>
      </c>
      <c r="Q319" s="81">
        <f>IF(Data!Q319&gt;Data!P319,DATEDIF(Data!P319,Data!Q319,"d"),0)</f>
        <v>0</v>
      </c>
      <c r="R319" s="81">
        <f>IF(Data!R319&gt;Data!Q319,DATEDIF(Data!Q319,Data!R319,"d"),0)</f>
        <v>12</v>
      </c>
      <c r="X319"/>
      <c r="Y319"/>
      <c r="Z319"/>
    </row>
    <row r="320" spans="2:26" ht="16" x14ac:dyDescent="0.2">
      <c r="B320" s="45"/>
      <c r="C320" s="80">
        <f t="shared" ca="1" si="9"/>
        <v>45959</v>
      </c>
      <c r="D320" s="81">
        <f>IF(Data!I320&lt;&gt;"",DATEDIF(Data!I320,C320,"m"),0)</f>
        <v>0</v>
      </c>
      <c r="E320" s="82">
        <f t="shared" si="10"/>
        <v>0</v>
      </c>
      <c r="I320" s="81" t="str">
        <f>CONCATENATE(Data!M320,"-",Data!L320)</f>
        <v>SR-BA</v>
      </c>
      <c r="N320" s="81">
        <f>IF(Data!P320,DATEDIF(Data!O320,Data!P320,"d"),0)</f>
        <v>63</v>
      </c>
      <c r="O320" s="81">
        <f>IF(Data!M320="CD",1,0)</f>
        <v>0</v>
      </c>
      <c r="P320" s="81">
        <f>IF(Data!M320="CD",0,1)</f>
        <v>1</v>
      </c>
      <c r="Q320" s="81">
        <f>IF(Data!Q320&gt;Data!P320,DATEDIF(Data!P320,Data!Q320,"d"),0)</f>
        <v>14</v>
      </c>
      <c r="R320" s="81">
        <f>IF(Data!R320&gt;Data!Q320,DATEDIF(Data!Q320,Data!R320,"d"),0)</f>
        <v>20</v>
      </c>
      <c r="X320"/>
      <c r="Y320"/>
      <c r="Z320"/>
    </row>
    <row r="321" spans="2:26" ht="16" x14ac:dyDescent="0.2">
      <c r="B321" s="45"/>
      <c r="C321" s="80">
        <f t="shared" ca="1" si="9"/>
        <v>45959</v>
      </c>
      <c r="D321" s="81">
        <f ca="1">IF(Data!I321&lt;&gt;"",DATEDIF(Data!I321,C321,"m"),0)</f>
        <v>13</v>
      </c>
      <c r="E321" s="82">
        <f t="shared" ca="1" si="10"/>
        <v>1.0833333333333333</v>
      </c>
      <c r="I321" s="81" t="str">
        <f>CONCATENATE(Data!M321,"-",Data!L321)</f>
        <v>CD-GE</v>
      </c>
      <c r="N321" s="81">
        <f>IF(Data!P321,DATEDIF(Data!O321,Data!P321,"d"),0)</f>
        <v>10</v>
      </c>
      <c r="O321" s="81">
        <f>IF(Data!M321="CD",1,0)</f>
        <v>1</v>
      </c>
      <c r="P321" s="81">
        <f>IF(Data!M321="CD",0,1)</f>
        <v>0</v>
      </c>
      <c r="Q321" s="81">
        <f>IF(Data!Q321&gt;Data!P321,DATEDIF(Data!P321,Data!Q321,"d"),0)</f>
        <v>0</v>
      </c>
      <c r="R321" s="81">
        <f>IF(Data!R321&gt;Data!Q321,DATEDIF(Data!Q321,Data!R321,"d"),0)</f>
        <v>15</v>
      </c>
      <c r="X321"/>
      <c r="Y321"/>
      <c r="Z321"/>
    </row>
    <row r="322" spans="2:26" ht="16" x14ac:dyDescent="0.2">
      <c r="B322" s="45"/>
      <c r="C322" s="80">
        <f t="shared" ref="C322:C385" ca="1" si="11">TODAY()</f>
        <v>45959</v>
      </c>
      <c r="D322" s="81">
        <f ca="1">IF(Data!I322&lt;&gt;"",DATEDIF(Data!I322,C322,"m"),0)</f>
        <v>15</v>
      </c>
      <c r="E322" s="82">
        <f t="shared" ca="1" si="10"/>
        <v>1.25</v>
      </c>
      <c r="I322" s="81" t="str">
        <f>CONCATENATE(Data!M322,"-",Data!L322)</f>
        <v>CI-BA</v>
      </c>
      <c r="N322" s="81">
        <f>IF(Data!P322,DATEDIF(Data!O322,Data!P322,"d"),0)</f>
        <v>1</v>
      </c>
      <c r="O322" s="81">
        <f>IF(Data!M322="CD",1,0)</f>
        <v>0</v>
      </c>
      <c r="P322" s="81">
        <f>IF(Data!M322="CD",0,1)</f>
        <v>1</v>
      </c>
      <c r="Q322" s="81">
        <f>IF(Data!Q322&gt;Data!P322,DATEDIF(Data!P322,Data!Q322,"d"),0)</f>
        <v>6</v>
      </c>
      <c r="R322" s="81">
        <f>IF(Data!R322&gt;Data!Q322,DATEDIF(Data!Q322,Data!R322,"d"),0)</f>
        <v>10</v>
      </c>
      <c r="X322"/>
      <c r="Y322"/>
      <c r="Z322"/>
    </row>
    <row r="323" spans="2:26" ht="16" x14ac:dyDescent="0.2">
      <c r="B323" s="45"/>
      <c r="C323" s="80">
        <f t="shared" ca="1" si="11"/>
        <v>45959</v>
      </c>
      <c r="D323" s="81">
        <f ca="1">IF(Data!I323&lt;&gt;"",DATEDIF(Data!I323,C323,"m"),0)</f>
        <v>65</v>
      </c>
      <c r="E323" s="82">
        <f t="shared" ref="E323:E386" ca="1" si="12">D323/12</f>
        <v>5.416666666666667</v>
      </c>
      <c r="I323" s="81" t="str">
        <f>CONCATENATE(Data!M323,"-",Data!L323)</f>
        <v>CD-BA</v>
      </c>
      <c r="N323" s="81">
        <f>IF(Data!P323,DATEDIF(Data!O323,Data!P323,"d"),0)</f>
        <v>1</v>
      </c>
      <c r="O323" s="81">
        <f>IF(Data!M323="CD",1,0)</f>
        <v>1</v>
      </c>
      <c r="P323" s="81">
        <f>IF(Data!M323="CD",0,1)</f>
        <v>0</v>
      </c>
      <c r="Q323" s="81">
        <f>IF(Data!Q323&gt;Data!P323,DATEDIF(Data!P323,Data!Q323,"d"),0)</f>
        <v>10</v>
      </c>
      <c r="R323" s="81">
        <f>IF(Data!R323&gt;Data!Q323,DATEDIF(Data!Q323,Data!R323,"d"),0)</f>
        <v>5</v>
      </c>
      <c r="X323"/>
      <c r="Y323"/>
      <c r="Z323"/>
    </row>
    <row r="324" spans="2:26" ht="16" x14ac:dyDescent="0.2">
      <c r="B324" s="45"/>
      <c r="C324" s="80">
        <f t="shared" ca="1" si="11"/>
        <v>45959</v>
      </c>
      <c r="D324" s="81">
        <f ca="1">IF(Data!I324&lt;&gt;"",DATEDIF(Data!I324,C324,"m"),0)</f>
        <v>76</v>
      </c>
      <c r="E324" s="82">
        <f t="shared" ca="1" si="12"/>
        <v>6.333333333333333</v>
      </c>
      <c r="I324" s="81" t="str">
        <f>CONCATENATE(Data!M324,"-",Data!L324)</f>
        <v>CI-GE</v>
      </c>
      <c r="N324" s="81">
        <f>IF(Data!P324,DATEDIF(Data!O324,Data!P324,"d"),0)</f>
        <v>10</v>
      </c>
      <c r="O324" s="81">
        <f>IF(Data!M324="CD",1,0)</f>
        <v>0</v>
      </c>
      <c r="P324" s="81">
        <f>IF(Data!M324="CD",0,1)</f>
        <v>1</v>
      </c>
      <c r="Q324" s="81">
        <f>IF(Data!Q324&gt;Data!P324,DATEDIF(Data!P324,Data!Q324,"d"),0)</f>
        <v>0</v>
      </c>
      <c r="R324" s="81">
        <f>IF(Data!R324&gt;Data!Q324,DATEDIF(Data!Q324,Data!R324,"d"),0)</f>
        <v>12</v>
      </c>
      <c r="X324"/>
      <c r="Y324"/>
      <c r="Z324"/>
    </row>
    <row r="325" spans="2:26" ht="16" x14ac:dyDescent="0.2">
      <c r="B325" s="45"/>
      <c r="C325" s="80">
        <f t="shared" ca="1" si="11"/>
        <v>45959</v>
      </c>
      <c r="D325" s="81">
        <f ca="1">IF(Data!I325&lt;&gt;"",DATEDIF(Data!I325,C325,"m"),0)</f>
        <v>105</v>
      </c>
      <c r="E325" s="82">
        <f t="shared" ca="1" si="12"/>
        <v>8.75</v>
      </c>
      <c r="I325" s="81" t="str">
        <f>CONCATENATE(Data!M325,"-",Data!L325)</f>
        <v>CI-BA</v>
      </c>
      <c r="N325" s="81">
        <f>IF(Data!P325,DATEDIF(Data!O325,Data!P325,"d"),0)</f>
        <v>4</v>
      </c>
      <c r="O325" s="81">
        <f>IF(Data!M325="CD",1,0)</f>
        <v>0</v>
      </c>
      <c r="P325" s="81">
        <f>IF(Data!M325="CD",0,1)</f>
        <v>1</v>
      </c>
      <c r="Q325" s="81">
        <f>IF(Data!Q325&gt;Data!P325,DATEDIF(Data!P325,Data!Q325,"d"),0)</f>
        <v>24</v>
      </c>
      <c r="R325" s="81">
        <f>IF(Data!R325&gt;Data!Q325,DATEDIF(Data!Q325,Data!R325,"d"),0)</f>
        <v>12</v>
      </c>
      <c r="X325"/>
      <c r="Y325"/>
      <c r="Z325"/>
    </row>
    <row r="326" spans="2:26" ht="16" x14ac:dyDescent="0.2">
      <c r="B326" s="45"/>
      <c r="C326" s="80">
        <f t="shared" ca="1" si="11"/>
        <v>45959</v>
      </c>
      <c r="D326" s="81">
        <f ca="1">IF(Data!I326&lt;&gt;"",DATEDIF(Data!I326,C326,"m"),0)</f>
        <v>54</v>
      </c>
      <c r="E326" s="82">
        <f t="shared" ca="1" si="12"/>
        <v>4.5</v>
      </c>
      <c r="I326" s="81" t="str">
        <f>CONCATENATE(Data!M326,"-",Data!L326)</f>
        <v>AI-GE</v>
      </c>
      <c r="N326" s="81">
        <f>IF(Data!P326,DATEDIF(Data!O326,Data!P326,"d"),0)</f>
        <v>14</v>
      </c>
      <c r="O326" s="81">
        <f>IF(Data!M326="CD",1,0)</f>
        <v>0</v>
      </c>
      <c r="P326" s="81">
        <f>IF(Data!M326="CD",0,1)</f>
        <v>1</v>
      </c>
      <c r="Q326" s="81">
        <f>IF(Data!Q326&gt;Data!P326,DATEDIF(Data!P326,Data!Q326,"d"),0)</f>
        <v>4</v>
      </c>
      <c r="R326" s="81">
        <f>IF(Data!R326&gt;Data!Q326,DATEDIF(Data!Q326,Data!R326,"d"),0)</f>
        <v>8</v>
      </c>
      <c r="X326"/>
      <c r="Y326"/>
      <c r="Z326"/>
    </row>
    <row r="327" spans="2:26" ht="16" x14ac:dyDescent="0.2">
      <c r="B327" s="45"/>
      <c r="C327" s="80">
        <f t="shared" ca="1" si="11"/>
        <v>45959</v>
      </c>
      <c r="D327" s="81">
        <f ca="1">IF(Data!I327&lt;&gt;"",DATEDIF(Data!I327,C327,"m"),0)</f>
        <v>19</v>
      </c>
      <c r="E327" s="82">
        <f t="shared" ca="1" si="12"/>
        <v>1.5833333333333333</v>
      </c>
      <c r="I327" s="81" t="str">
        <f>CONCATENATE(Data!M327,"-",Data!L327)</f>
        <v>CD-GE</v>
      </c>
      <c r="N327" s="81">
        <f>IF(Data!P327,DATEDIF(Data!O327,Data!P327,"d"),0)</f>
        <v>36</v>
      </c>
      <c r="O327" s="81">
        <f>IF(Data!M327="CD",1,0)</f>
        <v>1</v>
      </c>
      <c r="P327" s="81">
        <f>IF(Data!M327="CD",0,1)</f>
        <v>0</v>
      </c>
      <c r="Q327" s="81">
        <f>IF(Data!Q327&gt;Data!P327,DATEDIF(Data!P327,Data!Q327,"d"),0)</f>
        <v>0</v>
      </c>
      <c r="R327" s="81">
        <f>IF(Data!R327&gt;Data!Q327,DATEDIF(Data!Q327,Data!R327,"d"),0)</f>
        <v>61</v>
      </c>
      <c r="X327"/>
      <c r="Y327"/>
      <c r="Z327"/>
    </row>
    <row r="328" spans="2:26" ht="16" x14ac:dyDescent="0.2">
      <c r="B328" s="45"/>
      <c r="C328" s="80">
        <f t="shared" ca="1" si="11"/>
        <v>45959</v>
      </c>
      <c r="D328" s="81">
        <f ca="1">IF(Data!I328&lt;&gt;"",DATEDIF(Data!I328,C328,"m"),0)</f>
        <v>89</v>
      </c>
      <c r="E328" s="82">
        <f t="shared" ca="1" si="12"/>
        <v>7.416666666666667</v>
      </c>
      <c r="I328" s="81" t="str">
        <f>CONCATENATE(Data!M328,"-",Data!L328)</f>
        <v>CD-GE</v>
      </c>
      <c r="N328" s="81">
        <f>IF(Data!P328,DATEDIF(Data!O328,Data!P328,"d"),0)</f>
        <v>14</v>
      </c>
      <c r="O328" s="81">
        <f>IF(Data!M328="CD",1,0)</f>
        <v>1</v>
      </c>
      <c r="P328" s="81">
        <f>IF(Data!M328="CD",0,1)</f>
        <v>0</v>
      </c>
      <c r="Q328" s="81">
        <f>IF(Data!Q328&gt;Data!P328,DATEDIF(Data!P328,Data!Q328,"d"),0)</f>
        <v>0</v>
      </c>
      <c r="R328" s="81">
        <f>IF(Data!R328&gt;Data!Q328,DATEDIF(Data!Q328,Data!R328,"d"),0)</f>
        <v>1</v>
      </c>
      <c r="X328"/>
      <c r="Y328"/>
      <c r="Z328"/>
    </row>
    <row r="329" spans="2:26" ht="16" x14ac:dyDescent="0.2">
      <c r="B329" s="45"/>
      <c r="C329" s="80">
        <f t="shared" ca="1" si="11"/>
        <v>45959</v>
      </c>
      <c r="D329" s="81">
        <f ca="1">IF(Data!I329&lt;&gt;"",DATEDIF(Data!I329,C329,"m"),0)</f>
        <v>28</v>
      </c>
      <c r="E329" s="82">
        <f t="shared" ca="1" si="12"/>
        <v>2.3333333333333335</v>
      </c>
      <c r="I329" s="81" t="str">
        <f>CONCATENATE(Data!M329,"-",Data!L329)</f>
        <v>AI-GE</v>
      </c>
      <c r="N329" s="81">
        <f>IF(Data!P329,DATEDIF(Data!O329,Data!P329,"d"),0)</f>
        <v>15</v>
      </c>
      <c r="O329" s="81">
        <f>IF(Data!M329="CD",1,0)</f>
        <v>0</v>
      </c>
      <c r="P329" s="81">
        <f>IF(Data!M329="CD",0,1)</f>
        <v>1</v>
      </c>
      <c r="Q329" s="81">
        <f>IF(Data!Q329&gt;Data!P329,DATEDIF(Data!P329,Data!Q329,"d"),0)</f>
        <v>4</v>
      </c>
      <c r="R329" s="81">
        <f>IF(Data!R329&gt;Data!Q329,DATEDIF(Data!Q329,Data!R329,"d"),0)</f>
        <v>35</v>
      </c>
      <c r="X329"/>
      <c r="Y329"/>
      <c r="Z329"/>
    </row>
    <row r="330" spans="2:26" ht="16" x14ac:dyDescent="0.2">
      <c r="B330" s="45"/>
      <c r="C330" s="80">
        <f t="shared" ca="1" si="11"/>
        <v>45959</v>
      </c>
      <c r="D330" s="81">
        <f ca="1">IF(Data!I330&lt;&gt;"",DATEDIF(Data!I330,C330,"m"),0)</f>
        <v>16</v>
      </c>
      <c r="E330" s="82">
        <f t="shared" ca="1" si="12"/>
        <v>1.3333333333333333</v>
      </c>
      <c r="I330" s="81" t="str">
        <f>CONCATENATE(Data!M330,"-",Data!L330)</f>
        <v>CD-BA</v>
      </c>
      <c r="N330" s="81">
        <f>IF(Data!P330,DATEDIF(Data!O330,Data!P330,"d"),0)</f>
        <v>0</v>
      </c>
      <c r="O330" s="81">
        <f>IF(Data!M330="CD",1,0)</f>
        <v>1</v>
      </c>
      <c r="P330" s="81">
        <f>IF(Data!M330="CD",0,1)</f>
        <v>0</v>
      </c>
      <c r="Q330" s="81">
        <f>IF(Data!Q330&gt;Data!P330,DATEDIF(Data!P330,Data!Q330,"d"),0)</f>
        <v>2</v>
      </c>
      <c r="R330" s="81">
        <f>IF(Data!R330&gt;Data!Q330,DATEDIF(Data!Q330,Data!R330,"d"),0)</f>
        <v>12</v>
      </c>
      <c r="X330"/>
      <c r="Y330"/>
      <c r="Z330"/>
    </row>
    <row r="331" spans="2:26" ht="16" x14ac:dyDescent="0.2">
      <c r="B331" s="45"/>
      <c r="C331" s="80">
        <f t="shared" ca="1" si="11"/>
        <v>45959</v>
      </c>
      <c r="D331" s="81">
        <f ca="1">IF(Data!I331&lt;&gt;"",DATEDIF(Data!I331,C331,"m"),0)</f>
        <v>48</v>
      </c>
      <c r="E331" s="82">
        <f t="shared" ca="1" si="12"/>
        <v>4</v>
      </c>
      <c r="I331" s="81" t="str">
        <f>CONCATENATE(Data!M331,"-",Data!L331)</f>
        <v>CD-BA</v>
      </c>
      <c r="N331" s="81">
        <f>IF(Data!P331,DATEDIF(Data!O331,Data!P331,"d"),0)</f>
        <v>6</v>
      </c>
      <c r="O331" s="81">
        <f>IF(Data!M331="CD",1,0)</f>
        <v>1</v>
      </c>
      <c r="P331" s="81">
        <f>IF(Data!M331="CD",0,1)</f>
        <v>0</v>
      </c>
      <c r="Q331" s="81">
        <f>IF(Data!Q331&gt;Data!P331,DATEDIF(Data!P331,Data!Q331,"d"),0)</f>
        <v>3</v>
      </c>
      <c r="R331" s="81">
        <f>IF(Data!R331&gt;Data!Q331,DATEDIF(Data!Q331,Data!R331,"d"),0)</f>
        <v>35</v>
      </c>
      <c r="X331"/>
      <c r="Y331"/>
      <c r="Z331"/>
    </row>
    <row r="332" spans="2:26" ht="16" x14ac:dyDescent="0.2">
      <c r="B332" s="45"/>
      <c r="C332" s="80">
        <f t="shared" ca="1" si="11"/>
        <v>45959</v>
      </c>
      <c r="D332" s="81">
        <f ca="1">IF(Data!I332&lt;&gt;"",DATEDIF(Data!I332,C332,"m"),0)</f>
        <v>43</v>
      </c>
      <c r="E332" s="82">
        <f t="shared" ca="1" si="12"/>
        <v>3.5833333333333335</v>
      </c>
      <c r="I332" s="81" t="str">
        <f>CONCATENATE(Data!M332,"-",Data!L332)</f>
        <v>CD-CH</v>
      </c>
      <c r="N332" s="81">
        <f>IF(Data!P332,DATEDIF(Data!O332,Data!P332,"d"),0)</f>
        <v>34</v>
      </c>
      <c r="O332" s="81">
        <f>IF(Data!M332="CD",1,0)</f>
        <v>1</v>
      </c>
      <c r="P332" s="81">
        <f>IF(Data!M332="CD",0,1)</f>
        <v>0</v>
      </c>
      <c r="Q332" s="81">
        <f>IF(Data!Q332&gt;Data!P332,DATEDIF(Data!P332,Data!Q332,"d"),0)</f>
        <v>0</v>
      </c>
      <c r="R332" s="81">
        <f>IF(Data!R332&gt;Data!Q332,DATEDIF(Data!Q332,Data!R332,"d"),0)</f>
        <v>6</v>
      </c>
      <c r="X332"/>
      <c r="Y332"/>
      <c r="Z332"/>
    </row>
    <row r="333" spans="2:26" ht="16" x14ac:dyDescent="0.2">
      <c r="B333" s="45"/>
      <c r="C333" s="80">
        <f t="shared" ca="1" si="11"/>
        <v>45959</v>
      </c>
      <c r="D333" s="81">
        <f ca="1">IF(Data!I333&lt;&gt;"",DATEDIF(Data!I333,C333,"m"),0)</f>
        <v>13</v>
      </c>
      <c r="E333" s="82">
        <f t="shared" ca="1" si="12"/>
        <v>1.0833333333333333</v>
      </c>
      <c r="I333" s="81" t="str">
        <f>CONCATENATE(Data!M333,"-",Data!L333)</f>
        <v>CD-BA</v>
      </c>
      <c r="N333" s="81">
        <f>IF(Data!P333,DATEDIF(Data!O333,Data!P333,"d"),0)</f>
        <v>248</v>
      </c>
      <c r="O333" s="81">
        <f>IF(Data!M333="CD",1,0)</f>
        <v>1</v>
      </c>
      <c r="P333" s="81">
        <f>IF(Data!M333="CD",0,1)</f>
        <v>0</v>
      </c>
      <c r="Q333" s="81">
        <f>IF(Data!Q333&gt;Data!P333,DATEDIF(Data!P333,Data!Q333,"d"),0)</f>
        <v>0</v>
      </c>
      <c r="R333" s="81">
        <f>IF(Data!R333&gt;Data!Q333,DATEDIF(Data!Q333,Data!R333,"d"),0)</f>
        <v>7</v>
      </c>
      <c r="X333"/>
      <c r="Y333"/>
      <c r="Z333"/>
    </row>
    <row r="334" spans="2:26" ht="16" x14ac:dyDescent="0.2">
      <c r="B334" s="45"/>
      <c r="C334" s="80">
        <f t="shared" ca="1" si="11"/>
        <v>45959</v>
      </c>
      <c r="D334" s="81">
        <f ca="1">IF(Data!I334&lt;&gt;"",DATEDIF(Data!I334,C334,"m"),0)</f>
        <v>27</v>
      </c>
      <c r="E334" s="82">
        <f t="shared" ca="1" si="12"/>
        <v>2.25</v>
      </c>
      <c r="I334" s="81" t="str">
        <f>CONCATENATE(Data!M334,"-",Data!L334)</f>
        <v>CD-BA</v>
      </c>
      <c r="N334" s="81">
        <f>IF(Data!P334,DATEDIF(Data!O334,Data!P334,"d"),0)</f>
        <v>0</v>
      </c>
      <c r="O334" s="81">
        <f>IF(Data!M334="CD",1,0)</f>
        <v>1</v>
      </c>
      <c r="P334" s="81">
        <f>IF(Data!M334="CD",0,1)</f>
        <v>0</v>
      </c>
      <c r="Q334" s="81">
        <f>IF(Data!Q334&gt;Data!P334,DATEDIF(Data!P334,Data!Q334,"d"),0)</f>
        <v>3</v>
      </c>
      <c r="R334" s="81">
        <f>IF(Data!R334&gt;Data!Q334,DATEDIF(Data!Q334,Data!R334,"d"),0)</f>
        <v>11</v>
      </c>
      <c r="X334"/>
      <c r="Y334"/>
      <c r="Z334"/>
    </row>
    <row r="335" spans="2:26" ht="16" x14ac:dyDescent="0.2">
      <c r="B335" s="45"/>
      <c r="C335" s="80">
        <f t="shared" ca="1" si="11"/>
        <v>45959</v>
      </c>
      <c r="D335" s="81">
        <f ca="1">IF(Data!I335&lt;&gt;"",DATEDIF(Data!I335,C335,"m"),0)</f>
        <v>96</v>
      </c>
      <c r="E335" s="82">
        <f t="shared" ca="1" si="12"/>
        <v>8</v>
      </c>
      <c r="I335" s="81" t="str">
        <f>CONCATENATE(Data!M335,"-",Data!L335)</f>
        <v>CI-GE</v>
      </c>
      <c r="N335" s="81">
        <f>IF(Data!P335,DATEDIF(Data!O335,Data!P335,"d"),0)</f>
        <v>20</v>
      </c>
      <c r="O335" s="81">
        <f>IF(Data!M335="CD",1,0)</f>
        <v>0</v>
      </c>
      <c r="P335" s="81">
        <f>IF(Data!M335="CD",0,1)</f>
        <v>1</v>
      </c>
      <c r="Q335" s="81">
        <f>IF(Data!Q335&gt;Data!P335,DATEDIF(Data!P335,Data!Q335,"d"),0)</f>
        <v>0</v>
      </c>
      <c r="R335" s="81">
        <f>IF(Data!R335&gt;Data!Q335,DATEDIF(Data!Q335,Data!R335,"d"),0)</f>
        <v>25</v>
      </c>
      <c r="X335"/>
      <c r="Y335"/>
      <c r="Z335"/>
    </row>
    <row r="336" spans="2:26" ht="16" x14ac:dyDescent="0.2">
      <c r="B336" s="45"/>
      <c r="C336" s="80">
        <f t="shared" ca="1" si="11"/>
        <v>45959</v>
      </c>
      <c r="D336" s="81">
        <f ca="1">IF(Data!I336&lt;&gt;"",DATEDIF(Data!I336,C336,"m"),0)</f>
        <v>21</v>
      </c>
      <c r="E336" s="82">
        <f t="shared" ca="1" si="12"/>
        <v>1.75</v>
      </c>
      <c r="I336" s="81" t="str">
        <f>CONCATENATE(Data!M336,"-",Data!L336)</f>
        <v>CI-BA</v>
      </c>
      <c r="N336" s="81">
        <f>IF(Data!P336,DATEDIF(Data!O336,Data!P336,"d"),0)</f>
        <v>0</v>
      </c>
      <c r="O336" s="81">
        <f>IF(Data!M336="CD",1,0)</f>
        <v>0</v>
      </c>
      <c r="P336" s="81">
        <f>IF(Data!M336="CD",0,1)</f>
        <v>1</v>
      </c>
      <c r="Q336" s="81">
        <f>IF(Data!Q336&gt;Data!P336,DATEDIF(Data!P336,Data!Q336,"d"),0)</f>
        <v>1</v>
      </c>
      <c r="R336" s="81">
        <f>IF(Data!R336&gt;Data!Q336,DATEDIF(Data!Q336,Data!R336,"d"),0)</f>
        <v>20</v>
      </c>
      <c r="X336"/>
      <c r="Y336"/>
      <c r="Z336"/>
    </row>
    <row r="337" spans="2:26" ht="16" x14ac:dyDescent="0.2">
      <c r="B337" s="45"/>
      <c r="C337" s="80">
        <f t="shared" ca="1" si="11"/>
        <v>45959</v>
      </c>
      <c r="D337" s="81">
        <f ca="1">IF(Data!I337&lt;&gt;"",DATEDIF(Data!I337,C337,"m"),0)</f>
        <v>69</v>
      </c>
      <c r="E337" s="82">
        <f t="shared" ca="1" si="12"/>
        <v>5.75</v>
      </c>
      <c r="I337" s="81" t="str">
        <f>CONCATENATE(Data!M337,"-",Data!L337)</f>
        <v>CI-BA</v>
      </c>
      <c r="N337" s="81">
        <f>IF(Data!P337,DATEDIF(Data!O337,Data!P337,"d"),0)</f>
        <v>11</v>
      </c>
      <c r="O337" s="81">
        <f>IF(Data!M337="CD",1,0)</f>
        <v>0</v>
      </c>
      <c r="P337" s="81">
        <f>IF(Data!M337="CD",0,1)</f>
        <v>1</v>
      </c>
      <c r="Q337" s="81">
        <f>IF(Data!Q337&gt;Data!P337,DATEDIF(Data!P337,Data!Q337,"d"),0)</f>
        <v>14</v>
      </c>
      <c r="R337" s="81">
        <f>IF(Data!R337&gt;Data!Q337,DATEDIF(Data!Q337,Data!R337,"d"),0)</f>
        <v>0</v>
      </c>
      <c r="X337"/>
      <c r="Y337"/>
      <c r="Z337"/>
    </row>
    <row r="338" spans="2:26" ht="16" x14ac:dyDescent="0.2">
      <c r="B338" s="45"/>
      <c r="C338" s="80">
        <f t="shared" ca="1" si="11"/>
        <v>45959</v>
      </c>
      <c r="D338" s="81">
        <f>IF(Data!I338&lt;&gt;"",DATEDIF(Data!I338,C338,"m"),0)</f>
        <v>0</v>
      </c>
      <c r="E338" s="82">
        <f t="shared" si="12"/>
        <v>0</v>
      </c>
      <c r="I338" s="81" t="str">
        <f>CONCATENATE(Data!M338,"-",Data!L338)</f>
        <v>CD-GE</v>
      </c>
      <c r="N338" s="81">
        <f>IF(Data!P338,DATEDIF(Data!O338,Data!P338,"d"),0)</f>
        <v>22</v>
      </c>
      <c r="O338" s="81">
        <f>IF(Data!M338="CD",1,0)</f>
        <v>1</v>
      </c>
      <c r="P338" s="81">
        <f>IF(Data!M338="CD",0,1)</f>
        <v>0</v>
      </c>
      <c r="Q338" s="81">
        <f>IF(Data!Q338&gt;Data!P338,DATEDIF(Data!P338,Data!Q338,"d"),0)</f>
        <v>0</v>
      </c>
      <c r="R338" s="81">
        <f>IF(Data!R338&gt;Data!Q338,DATEDIF(Data!Q338,Data!R338,"d"),0)</f>
        <v>12</v>
      </c>
      <c r="X338"/>
      <c r="Y338"/>
      <c r="Z338"/>
    </row>
    <row r="339" spans="2:26" ht="16" x14ac:dyDescent="0.2">
      <c r="B339" s="45"/>
      <c r="C339" s="80">
        <f t="shared" ca="1" si="11"/>
        <v>45959</v>
      </c>
      <c r="D339" s="81">
        <f ca="1">IF(Data!I339&lt;&gt;"",DATEDIF(Data!I339,C339,"m"),0)</f>
        <v>107</v>
      </c>
      <c r="E339" s="82">
        <f t="shared" ca="1" si="12"/>
        <v>8.9166666666666661</v>
      </c>
      <c r="I339" s="81" t="str">
        <f>CONCATENATE(Data!M339,"-",Data!L339)</f>
        <v>CD-GE</v>
      </c>
      <c r="N339" s="81">
        <f>IF(Data!P339,DATEDIF(Data!O339,Data!P339,"d"),0)</f>
        <v>22</v>
      </c>
      <c r="O339" s="81">
        <f>IF(Data!M339="CD",1,0)</f>
        <v>1</v>
      </c>
      <c r="P339" s="81">
        <f>IF(Data!M339="CD",0,1)</f>
        <v>0</v>
      </c>
      <c r="Q339" s="81">
        <f>IF(Data!Q339&gt;Data!P339,DATEDIF(Data!P339,Data!Q339,"d"),0)</f>
        <v>1</v>
      </c>
      <c r="R339" s="81">
        <f>IF(Data!R339&gt;Data!Q339,DATEDIF(Data!Q339,Data!R339,"d"),0)</f>
        <v>14</v>
      </c>
      <c r="X339"/>
      <c r="Y339"/>
      <c r="Z339"/>
    </row>
    <row r="340" spans="2:26" ht="16" x14ac:dyDescent="0.2">
      <c r="B340" s="45"/>
      <c r="C340" s="80">
        <f t="shared" ca="1" si="11"/>
        <v>45959</v>
      </c>
      <c r="D340" s="81">
        <f ca="1">IF(Data!I340&lt;&gt;"",DATEDIF(Data!I340,C340,"m"),0)</f>
        <v>52</v>
      </c>
      <c r="E340" s="82">
        <f t="shared" ca="1" si="12"/>
        <v>4.333333333333333</v>
      </c>
      <c r="I340" s="81" t="str">
        <f>CONCATENATE(Data!M340,"-",Data!L340)</f>
        <v>CD-GE</v>
      </c>
      <c r="N340" s="81">
        <f>IF(Data!P340,DATEDIF(Data!O340,Data!P340,"d"),0)</f>
        <v>22</v>
      </c>
      <c r="O340" s="81">
        <f>IF(Data!M340="CD",1,0)</f>
        <v>1</v>
      </c>
      <c r="P340" s="81">
        <f>IF(Data!M340="CD",0,1)</f>
        <v>0</v>
      </c>
      <c r="Q340" s="81">
        <f>IF(Data!Q340&gt;Data!P340,DATEDIF(Data!P340,Data!Q340,"d"),0)</f>
        <v>4</v>
      </c>
      <c r="R340" s="81">
        <f>IF(Data!R340&gt;Data!Q340,DATEDIF(Data!Q340,Data!R340,"d"),0)</f>
        <v>15</v>
      </c>
      <c r="X340"/>
      <c r="Y340"/>
      <c r="Z340"/>
    </row>
    <row r="341" spans="2:26" ht="16" x14ac:dyDescent="0.2">
      <c r="B341" s="45"/>
      <c r="C341" s="80">
        <f t="shared" ca="1" si="11"/>
        <v>45959</v>
      </c>
      <c r="D341" s="81">
        <f ca="1">IF(Data!I341&lt;&gt;"",DATEDIF(Data!I341,C341,"m"),0)</f>
        <v>128</v>
      </c>
      <c r="E341" s="82">
        <f t="shared" ca="1" si="12"/>
        <v>10.666666666666666</v>
      </c>
      <c r="I341" s="81" t="str">
        <f>CONCATENATE(Data!M341,"-",Data!L341)</f>
        <v>CD-BA</v>
      </c>
      <c r="N341" s="81">
        <f>IF(Data!P341,DATEDIF(Data!O341,Data!P341,"d"),0)</f>
        <v>0</v>
      </c>
      <c r="O341" s="81">
        <f>IF(Data!M341="CD",1,0)</f>
        <v>1</v>
      </c>
      <c r="P341" s="81">
        <f>IF(Data!M341="CD",0,1)</f>
        <v>0</v>
      </c>
      <c r="Q341" s="81">
        <f>IF(Data!Q341&gt;Data!P341,DATEDIF(Data!P341,Data!Q341,"d"),0)</f>
        <v>8</v>
      </c>
      <c r="R341" s="81">
        <f>IF(Data!R341&gt;Data!Q341,DATEDIF(Data!Q341,Data!R341,"d"),0)</f>
        <v>26</v>
      </c>
      <c r="X341"/>
      <c r="Y341"/>
      <c r="Z341"/>
    </row>
    <row r="342" spans="2:26" ht="16" x14ac:dyDescent="0.2">
      <c r="B342" s="45"/>
      <c r="C342" s="80">
        <f t="shared" ca="1" si="11"/>
        <v>45959</v>
      </c>
      <c r="D342" s="81">
        <f>IF(Data!I342&lt;&gt;"",DATEDIF(Data!I342,C342,"m"),0)</f>
        <v>0</v>
      </c>
      <c r="E342" s="82">
        <f t="shared" si="12"/>
        <v>0</v>
      </c>
      <c r="I342" s="81" t="str">
        <f>CONCATENATE(Data!M342,"-",Data!L342)</f>
        <v>CD-VA</v>
      </c>
      <c r="N342" s="81">
        <f>IF(Data!P342,DATEDIF(Data!O342,Data!P342,"d"),0)</f>
        <v>0</v>
      </c>
      <c r="O342" s="81">
        <f>IF(Data!M342="CD",1,0)</f>
        <v>1</v>
      </c>
      <c r="P342" s="81">
        <f>IF(Data!M342="CD",0,1)</f>
        <v>0</v>
      </c>
      <c r="Q342" s="81">
        <f>IF(Data!Q342&gt;Data!P342,DATEDIF(Data!P342,Data!Q342,"d"),0)</f>
        <v>0</v>
      </c>
      <c r="R342" s="81">
        <f>IF(Data!R342&gt;Data!Q342,DATEDIF(Data!Q342,Data!R342,"d"),0)</f>
        <v>0</v>
      </c>
      <c r="X342"/>
      <c r="Y342"/>
      <c r="Z342"/>
    </row>
    <row r="343" spans="2:26" ht="16" x14ac:dyDescent="0.2">
      <c r="B343" s="45"/>
      <c r="C343" s="80">
        <f t="shared" ca="1" si="11"/>
        <v>45959</v>
      </c>
      <c r="D343" s="81">
        <f ca="1">IF(Data!I343&lt;&gt;"",DATEDIF(Data!I343,C343,"m"),0)</f>
        <v>51</v>
      </c>
      <c r="E343" s="82">
        <f t="shared" ca="1" si="12"/>
        <v>4.25</v>
      </c>
      <c r="I343" s="81" t="str">
        <f>CONCATENATE(Data!M343,"-",Data!L343)</f>
        <v>CD-CH</v>
      </c>
      <c r="N343" s="81">
        <f>IF(Data!P343,DATEDIF(Data!O343,Data!P343,"d"),0)</f>
        <v>78</v>
      </c>
      <c r="O343" s="81">
        <f>IF(Data!M343="CD",1,0)</f>
        <v>1</v>
      </c>
      <c r="P343" s="81">
        <f>IF(Data!M343="CD",0,1)</f>
        <v>0</v>
      </c>
      <c r="Q343" s="81">
        <f>IF(Data!Q343&gt;Data!P343,DATEDIF(Data!P343,Data!Q343,"d"),0)</f>
        <v>0</v>
      </c>
      <c r="R343" s="81">
        <f>IF(Data!R343&gt;Data!Q343,DATEDIF(Data!Q343,Data!R343,"d"),0)</f>
        <v>10</v>
      </c>
      <c r="X343"/>
      <c r="Y343"/>
      <c r="Z343"/>
    </row>
    <row r="344" spans="2:26" ht="16" x14ac:dyDescent="0.2">
      <c r="B344" s="45"/>
      <c r="C344" s="80">
        <f t="shared" ca="1" si="11"/>
        <v>45959</v>
      </c>
      <c r="D344" s="81">
        <f>IF(Data!I344&lt;&gt;"",DATEDIF(Data!I344,C344,"m"),0)</f>
        <v>0</v>
      </c>
      <c r="E344" s="82">
        <f t="shared" si="12"/>
        <v>0</v>
      </c>
      <c r="I344" s="81" t="str">
        <f>CONCATENATE(Data!M344,"-",Data!L344)</f>
        <v>CD-BA</v>
      </c>
      <c r="N344" s="81">
        <f>IF(Data!P344,DATEDIF(Data!O344,Data!P344,"d"),0)</f>
        <v>1</v>
      </c>
      <c r="O344" s="81">
        <f>IF(Data!M344="CD",1,0)</f>
        <v>1</v>
      </c>
      <c r="P344" s="81">
        <f>IF(Data!M344="CD",0,1)</f>
        <v>0</v>
      </c>
      <c r="Q344" s="81">
        <f>IF(Data!Q344&gt;Data!P344,DATEDIF(Data!P344,Data!Q344,"d"),0)</f>
        <v>0</v>
      </c>
      <c r="R344" s="81">
        <f>IF(Data!R344&gt;Data!Q344,DATEDIF(Data!Q344,Data!R344,"d"),0)</f>
        <v>23</v>
      </c>
      <c r="X344"/>
      <c r="Y344"/>
      <c r="Z344"/>
    </row>
    <row r="345" spans="2:26" ht="16" x14ac:dyDescent="0.2">
      <c r="B345" s="45"/>
      <c r="C345" s="80">
        <f t="shared" ca="1" si="11"/>
        <v>45959</v>
      </c>
      <c r="D345" s="81">
        <f ca="1">IF(Data!I345&lt;&gt;"",DATEDIF(Data!I345,C345,"m"),0)</f>
        <v>24</v>
      </c>
      <c r="E345" s="82">
        <f t="shared" ca="1" si="12"/>
        <v>2</v>
      </c>
      <c r="I345" s="81" t="str">
        <f>CONCATENATE(Data!M345,"-",Data!L345)</f>
        <v>AI-GE</v>
      </c>
      <c r="N345" s="81">
        <f>IF(Data!P345,DATEDIF(Data!O345,Data!P345,"d"),0)</f>
        <v>147</v>
      </c>
      <c r="O345" s="81">
        <f>IF(Data!M345="CD",1,0)</f>
        <v>0</v>
      </c>
      <c r="P345" s="81">
        <f>IF(Data!M345="CD",0,1)</f>
        <v>1</v>
      </c>
      <c r="Q345" s="81">
        <f>IF(Data!Q345&gt;Data!P345,DATEDIF(Data!P345,Data!Q345,"d"),0)</f>
        <v>0</v>
      </c>
      <c r="R345" s="81">
        <f>IF(Data!R345&gt;Data!Q345,DATEDIF(Data!Q345,Data!R345,"d"),0)</f>
        <v>32</v>
      </c>
      <c r="X345"/>
      <c r="Y345"/>
      <c r="Z345"/>
    </row>
    <row r="346" spans="2:26" ht="16" x14ac:dyDescent="0.2">
      <c r="B346" s="45"/>
      <c r="C346" s="80">
        <f t="shared" ca="1" si="11"/>
        <v>45959</v>
      </c>
      <c r="D346" s="81">
        <f ca="1">IF(Data!I346&lt;&gt;"",DATEDIF(Data!I346,C346,"m"),0)</f>
        <v>21</v>
      </c>
      <c r="E346" s="82">
        <f t="shared" ca="1" si="12"/>
        <v>1.75</v>
      </c>
      <c r="I346" s="81" t="str">
        <f>CONCATENATE(Data!M346,"-",Data!L346)</f>
        <v>CI-GE</v>
      </c>
      <c r="N346" s="81">
        <f>IF(Data!P346,DATEDIF(Data!O346,Data!P346,"d"),0)</f>
        <v>12</v>
      </c>
      <c r="O346" s="81">
        <f>IF(Data!M346="CD",1,0)</f>
        <v>0</v>
      </c>
      <c r="P346" s="81">
        <f>IF(Data!M346="CD",0,1)</f>
        <v>1</v>
      </c>
      <c r="Q346" s="81">
        <f>IF(Data!Q346&gt;Data!P346,DATEDIF(Data!P346,Data!Q346,"d"),0)</f>
        <v>5</v>
      </c>
      <c r="R346" s="81">
        <f>IF(Data!R346&gt;Data!Q346,DATEDIF(Data!Q346,Data!R346,"d"),0)</f>
        <v>15</v>
      </c>
      <c r="X346"/>
      <c r="Y346"/>
      <c r="Z346"/>
    </row>
    <row r="347" spans="2:26" ht="16" x14ac:dyDescent="0.2">
      <c r="B347" s="45"/>
      <c r="C347" s="80">
        <f t="shared" ca="1" si="11"/>
        <v>45959</v>
      </c>
      <c r="D347" s="81">
        <f ca="1">IF(Data!I347&lt;&gt;"",DATEDIF(Data!I347,C347,"m"),0)</f>
        <v>31</v>
      </c>
      <c r="E347" s="82">
        <f t="shared" ca="1" si="12"/>
        <v>2.5833333333333335</v>
      </c>
      <c r="I347" s="81" t="str">
        <f>CONCATENATE(Data!M347,"-",Data!L347)</f>
        <v>CI-GE</v>
      </c>
      <c r="N347" s="81">
        <f>IF(Data!P347,DATEDIF(Data!O347,Data!P347,"d"),0)</f>
        <v>12</v>
      </c>
      <c r="O347" s="81">
        <f>IF(Data!M347="CD",1,0)</f>
        <v>0</v>
      </c>
      <c r="P347" s="81">
        <f>IF(Data!M347="CD",0,1)</f>
        <v>1</v>
      </c>
      <c r="Q347" s="81">
        <f>IF(Data!Q347&gt;Data!P347,DATEDIF(Data!P347,Data!Q347,"d"),0)</f>
        <v>5</v>
      </c>
      <c r="R347" s="81">
        <f>IF(Data!R347&gt;Data!Q347,DATEDIF(Data!Q347,Data!R347,"d"),0)</f>
        <v>17</v>
      </c>
      <c r="X347"/>
      <c r="Y347"/>
      <c r="Z347"/>
    </row>
    <row r="348" spans="2:26" ht="16" x14ac:dyDescent="0.2">
      <c r="B348" s="45"/>
      <c r="C348" s="80">
        <f t="shared" ca="1" si="11"/>
        <v>45959</v>
      </c>
      <c r="D348" s="81">
        <f ca="1">IF(Data!I348&lt;&gt;"",DATEDIF(Data!I348,C348,"m"),0)</f>
        <v>81</v>
      </c>
      <c r="E348" s="82">
        <f t="shared" ca="1" si="12"/>
        <v>6.75</v>
      </c>
      <c r="I348" s="81" t="str">
        <f>CONCATENATE(Data!M348,"-",Data!L348)</f>
        <v>CI-GE</v>
      </c>
      <c r="N348" s="81">
        <f>IF(Data!P348,DATEDIF(Data!O348,Data!P348,"d"),0)</f>
        <v>12</v>
      </c>
      <c r="O348" s="81">
        <f>IF(Data!M348="CD",1,0)</f>
        <v>0</v>
      </c>
      <c r="P348" s="81">
        <f>IF(Data!M348="CD",0,1)</f>
        <v>1</v>
      </c>
      <c r="Q348" s="81">
        <f>IF(Data!Q348&gt;Data!P348,DATEDIF(Data!P348,Data!Q348,"d"),0)</f>
        <v>1</v>
      </c>
      <c r="R348" s="81">
        <f>IF(Data!R348&gt;Data!Q348,DATEDIF(Data!Q348,Data!R348,"d"),0)</f>
        <v>33</v>
      </c>
      <c r="X348"/>
      <c r="Y348"/>
      <c r="Z348"/>
    </row>
    <row r="349" spans="2:26" ht="16" x14ac:dyDescent="0.2">
      <c r="B349" s="45"/>
      <c r="C349" s="80">
        <f t="shared" ca="1" si="11"/>
        <v>45959</v>
      </c>
      <c r="D349" s="81">
        <f ca="1">IF(Data!I349&lt;&gt;"",DATEDIF(Data!I349,C349,"m"),0)</f>
        <v>196</v>
      </c>
      <c r="E349" s="82">
        <f t="shared" ca="1" si="12"/>
        <v>16.333333333333332</v>
      </c>
      <c r="I349" s="81" t="str">
        <f>CONCATENATE(Data!M349,"-",Data!L349)</f>
        <v>CD-GE</v>
      </c>
      <c r="N349" s="81">
        <f>IF(Data!P349,DATEDIF(Data!O349,Data!P349,"d"),0)</f>
        <v>13</v>
      </c>
      <c r="O349" s="81">
        <f>IF(Data!M349="CD",1,0)</f>
        <v>1</v>
      </c>
      <c r="P349" s="81">
        <f>IF(Data!M349="CD",0,1)</f>
        <v>0</v>
      </c>
      <c r="Q349" s="81">
        <f>IF(Data!Q349&gt;Data!P349,DATEDIF(Data!P349,Data!Q349,"d"),0)</f>
        <v>1</v>
      </c>
      <c r="R349" s="81">
        <f>IF(Data!R349&gt;Data!Q349,DATEDIF(Data!Q349,Data!R349,"d"),0)</f>
        <v>7</v>
      </c>
      <c r="X349"/>
      <c r="Y349"/>
      <c r="Z349"/>
    </row>
    <row r="350" spans="2:26" ht="16" x14ac:dyDescent="0.2">
      <c r="B350" s="45"/>
      <c r="C350" s="80">
        <f t="shared" ca="1" si="11"/>
        <v>45959</v>
      </c>
      <c r="D350" s="81">
        <f ca="1">IF(Data!I350&lt;&gt;"",DATEDIF(Data!I350,C350,"m"),0)</f>
        <v>10</v>
      </c>
      <c r="E350" s="82">
        <f t="shared" ca="1" si="12"/>
        <v>0.83333333333333337</v>
      </c>
      <c r="I350" s="81" t="str">
        <f>CONCATENATE(Data!M350,"-",Data!L350)</f>
        <v>CD-BA</v>
      </c>
      <c r="N350" s="81">
        <f>IF(Data!P350,DATEDIF(Data!O350,Data!P350,"d"),0)</f>
        <v>1</v>
      </c>
      <c r="O350" s="81">
        <f>IF(Data!M350="CD",1,0)</f>
        <v>1</v>
      </c>
      <c r="P350" s="81">
        <f>IF(Data!M350="CD",0,1)</f>
        <v>0</v>
      </c>
      <c r="Q350" s="81">
        <f>IF(Data!Q350&gt;Data!P350,DATEDIF(Data!P350,Data!Q350,"d"),0)</f>
        <v>3</v>
      </c>
      <c r="R350" s="81">
        <f>IF(Data!R350&gt;Data!Q350,DATEDIF(Data!Q350,Data!R350,"d"),0)</f>
        <v>9</v>
      </c>
      <c r="X350"/>
      <c r="Y350"/>
      <c r="Z350"/>
    </row>
    <row r="351" spans="2:26" ht="16" x14ac:dyDescent="0.2">
      <c r="B351" s="45"/>
      <c r="C351" s="80">
        <f t="shared" ca="1" si="11"/>
        <v>45959</v>
      </c>
      <c r="D351" s="81">
        <f ca="1">IF(Data!I351&lt;&gt;"",DATEDIF(Data!I351,C351,"m"),0)</f>
        <v>196</v>
      </c>
      <c r="E351" s="82">
        <f t="shared" ca="1" si="12"/>
        <v>16.333333333333332</v>
      </c>
      <c r="I351" s="81" t="str">
        <f>CONCATENATE(Data!M351,"-",Data!L351)</f>
        <v>CD-VA</v>
      </c>
      <c r="N351" s="81">
        <f>IF(Data!P351,DATEDIF(Data!O351,Data!P351,"d"),0)</f>
        <v>36</v>
      </c>
      <c r="O351" s="81">
        <f>IF(Data!M351="CD",1,0)</f>
        <v>1</v>
      </c>
      <c r="P351" s="81">
        <f>IF(Data!M351="CD",0,1)</f>
        <v>0</v>
      </c>
      <c r="Q351" s="81">
        <f>IF(Data!Q351&gt;Data!P351,DATEDIF(Data!P351,Data!Q351,"d"),0)</f>
        <v>0</v>
      </c>
      <c r="R351" s="81">
        <f>IF(Data!R351&gt;Data!Q351,DATEDIF(Data!Q351,Data!R351,"d"),0)</f>
        <v>5</v>
      </c>
      <c r="X351"/>
      <c r="Y351"/>
      <c r="Z351"/>
    </row>
    <row r="352" spans="2:26" ht="16" x14ac:dyDescent="0.2">
      <c r="B352" s="45"/>
      <c r="C352" s="80">
        <f t="shared" ca="1" si="11"/>
        <v>45959</v>
      </c>
      <c r="D352" s="81">
        <f ca="1">IF(Data!I352&lt;&gt;"",DATEDIF(Data!I352,C352,"m"),0)</f>
        <v>64</v>
      </c>
      <c r="E352" s="82">
        <f t="shared" ca="1" si="12"/>
        <v>5.333333333333333</v>
      </c>
      <c r="I352" s="81" t="str">
        <f>CONCATENATE(Data!M352,"-",Data!L352)</f>
        <v>CD-VA</v>
      </c>
      <c r="N352" s="81">
        <f>IF(Data!P352,DATEDIF(Data!O352,Data!P352,"d"),0)</f>
        <v>0</v>
      </c>
      <c r="O352" s="81">
        <f>IF(Data!M352="CD",1,0)</f>
        <v>1</v>
      </c>
      <c r="P352" s="81">
        <f>IF(Data!M352="CD",0,1)</f>
        <v>0</v>
      </c>
      <c r="Q352" s="81">
        <f>IF(Data!Q352&gt;Data!P352,DATEDIF(Data!P352,Data!Q352,"d"),0)</f>
        <v>0</v>
      </c>
      <c r="R352" s="81">
        <f>IF(Data!R352&gt;Data!Q352,DATEDIF(Data!Q352,Data!R352,"d"),0)</f>
        <v>0</v>
      </c>
      <c r="X352"/>
      <c r="Y352"/>
      <c r="Z352"/>
    </row>
    <row r="353" spans="2:26" ht="16" x14ac:dyDescent="0.2">
      <c r="B353" s="45"/>
      <c r="C353" s="80">
        <f t="shared" ca="1" si="11"/>
        <v>45959</v>
      </c>
      <c r="D353" s="81">
        <f>IF(Data!I353&lt;&gt;"",DATEDIF(Data!I353,C353,"m"),0)</f>
        <v>0</v>
      </c>
      <c r="E353" s="82">
        <f t="shared" si="12"/>
        <v>0</v>
      </c>
      <c r="I353" s="81" t="str">
        <f>CONCATENATE(Data!M353,"-",Data!L353)</f>
        <v>CD-GE</v>
      </c>
      <c r="N353" s="81">
        <f>IF(Data!P353,DATEDIF(Data!O353,Data!P353,"d"),0)</f>
        <v>0</v>
      </c>
      <c r="O353" s="81">
        <f>IF(Data!M353="CD",1,0)</f>
        <v>1</v>
      </c>
      <c r="P353" s="81">
        <f>IF(Data!M353="CD",0,1)</f>
        <v>0</v>
      </c>
      <c r="Q353" s="81">
        <f>IF(Data!Q353&gt;Data!P353,DATEDIF(Data!P353,Data!Q353,"d"),0)</f>
        <v>0</v>
      </c>
      <c r="R353" s="81">
        <f>IF(Data!R353&gt;Data!Q353,DATEDIF(Data!Q353,Data!R353,"d"),0)</f>
        <v>0</v>
      </c>
      <c r="X353"/>
      <c r="Y353"/>
      <c r="Z353"/>
    </row>
    <row r="354" spans="2:26" ht="16" x14ac:dyDescent="0.2">
      <c r="B354" s="45"/>
      <c r="C354" s="80">
        <f t="shared" ca="1" si="11"/>
        <v>45959</v>
      </c>
      <c r="D354" s="81">
        <f ca="1">IF(Data!I354&lt;&gt;"",DATEDIF(Data!I354,C354,"m"),0)</f>
        <v>21</v>
      </c>
      <c r="E354" s="82">
        <f t="shared" ca="1" si="12"/>
        <v>1.75</v>
      </c>
      <c r="I354" s="81" t="str">
        <f>CONCATENATE(Data!M354,"-",Data!L354)</f>
        <v>CI-BA</v>
      </c>
      <c r="N354" s="81">
        <f>IF(Data!P354,DATEDIF(Data!O354,Data!P354,"d"),0)</f>
        <v>2</v>
      </c>
      <c r="O354" s="81">
        <f>IF(Data!M354="CD",1,0)</f>
        <v>0</v>
      </c>
      <c r="P354" s="81">
        <f>IF(Data!M354="CD",0,1)</f>
        <v>1</v>
      </c>
      <c r="Q354" s="81">
        <f>IF(Data!Q354&gt;Data!P354,DATEDIF(Data!P354,Data!Q354,"d"),0)</f>
        <v>5</v>
      </c>
      <c r="R354" s="81">
        <f>IF(Data!R354&gt;Data!Q354,DATEDIF(Data!Q354,Data!R354,"d"),0)</f>
        <v>2</v>
      </c>
      <c r="X354"/>
      <c r="Y354"/>
      <c r="Z354"/>
    </row>
    <row r="355" spans="2:26" ht="16" x14ac:dyDescent="0.2">
      <c r="B355" s="45"/>
      <c r="C355" s="80">
        <f t="shared" ca="1" si="11"/>
        <v>45959</v>
      </c>
      <c r="D355" s="81">
        <f ca="1">IF(Data!I355&lt;&gt;"",DATEDIF(Data!I355,C355,"m"),0)</f>
        <v>44</v>
      </c>
      <c r="E355" s="82">
        <f t="shared" ca="1" si="12"/>
        <v>3.6666666666666665</v>
      </c>
      <c r="I355" s="81" t="str">
        <f>CONCATENATE(Data!M355,"-",Data!L355)</f>
        <v>CD-GE</v>
      </c>
      <c r="N355" s="81">
        <f>IF(Data!P355,DATEDIF(Data!O355,Data!P355,"d"),0)</f>
        <v>15</v>
      </c>
      <c r="O355" s="81">
        <f>IF(Data!M355="CD",1,0)</f>
        <v>1</v>
      </c>
      <c r="P355" s="81">
        <f>IF(Data!M355="CD",0,1)</f>
        <v>0</v>
      </c>
      <c r="Q355" s="81">
        <f>IF(Data!Q355&gt;Data!P355,DATEDIF(Data!P355,Data!Q355,"d"),0)</f>
        <v>1</v>
      </c>
      <c r="R355" s="81">
        <f>IF(Data!R355&gt;Data!Q355,DATEDIF(Data!Q355,Data!R355,"d"),0)</f>
        <v>7</v>
      </c>
      <c r="X355"/>
      <c r="Y355"/>
      <c r="Z355"/>
    </row>
    <row r="356" spans="2:26" ht="16" x14ac:dyDescent="0.2">
      <c r="B356" s="45"/>
      <c r="C356" s="80">
        <f t="shared" ca="1" si="11"/>
        <v>45959</v>
      </c>
      <c r="D356" s="81">
        <f>IF(Data!I356&lt;&gt;"",DATEDIF(Data!I356,C356,"m"),0)</f>
        <v>0</v>
      </c>
      <c r="E356" s="82">
        <f t="shared" si="12"/>
        <v>0</v>
      </c>
      <c r="I356" s="81" t="str">
        <f>CONCATENATE(Data!M356,"-",Data!L356)</f>
        <v>CD-BA</v>
      </c>
      <c r="N356" s="81">
        <f>IF(Data!P356,DATEDIF(Data!O356,Data!P356,"d"),0)</f>
        <v>3</v>
      </c>
      <c r="O356" s="81">
        <f>IF(Data!M356="CD",1,0)</f>
        <v>1</v>
      </c>
      <c r="P356" s="81">
        <f>IF(Data!M356="CD",0,1)</f>
        <v>0</v>
      </c>
      <c r="Q356" s="81">
        <f>IF(Data!Q356&gt;Data!P356,DATEDIF(Data!P356,Data!Q356,"d"),0)</f>
        <v>4</v>
      </c>
      <c r="R356" s="81">
        <f>IF(Data!R356&gt;Data!Q356,DATEDIF(Data!Q356,Data!R356,"d"),0)</f>
        <v>23</v>
      </c>
      <c r="X356"/>
      <c r="Y356"/>
      <c r="Z356"/>
    </row>
    <row r="357" spans="2:26" ht="16" x14ac:dyDescent="0.2">
      <c r="B357" s="45"/>
      <c r="C357" s="80">
        <f t="shared" ca="1" si="11"/>
        <v>45959</v>
      </c>
      <c r="D357" s="81">
        <f>IF(Data!I357&lt;&gt;"",DATEDIF(Data!I357,C357,"m"),0)</f>
        <v>0</v>
      </c>
      <c r="E357" s="82">
        <f t="shared" si="12"/>
        <v>0</v>
      </c>
      <c r="I357" s="81" t="str">
        <f>CONCATENATE(Data!M357,"-",Data!L357)</f>
        <v>CD-VA</v>
      </c>
      <c r="N357" s="81">
        <f>IF(Data!P357,DATEDIF(Data!O357,Data!P357,"d"),0)</f>
        <v>36</v>
      </c>
      <c r="O357" s="81">
        <f>IF(Data!M357="CD",1,0)</f>
        <v>1</v>
      </c>
      <c r="P357" s="81">
        <f>IF(Data!M357="CD",0,1)</f>
        <v>0</v>
      </c>
      <c r="Q357" s="81">
        <f>IF(Data!Q357&gt;Data!P357,DATEDIF(Data!P357,Data!Q357,"d"),0)</f>
        <v>12</v>
      </c>
      <c r="R357" s="81">
        <f>IF(Data!R357&gt;Data!Q357,DATEDIF(Data!Q357,Data!R357,"d"),0)</f>
        <v>21</v>
      </c>
      <c r="X357"/>
      <c r="Y357"/>
      <c r="Z357"/>
    </row>
    <row r="358" spans="2:26" ht="16" x14ac:dyDescent="0.2">
      <c r="B358" s="45"/>
      <c r="C358" s="80">
        <f t="shared" ca="1" si="11"/>
        <v>45959</v>
      </c>
      <c r="D358" s="81">
        <f ca="1">IF(Data!I358&lt;&gt;"",DATEDIF(Data!I358,C358,"m"),0)</f>
        <v>91</v>
      </c>
      <c r="E358" s="82">
        <f t="shared" ca="1" si="12"/>
        <v>7.583333333333333</v>
      </c>
      <c r="I358" s="81" t="str">
        <f>CONCATENATE(Data!M358,"-",Data!L358)</f>
        <v>CD-BA</v>
      </c>
      <c r="N358" s="81">
        <f>IF(Data!P358,DATEDIF(Data!O358,Data!P358,"d"),0)</f>
        <v>0</v>
      </c>
      <c r="O358" s="81">
        <f>IF(Data!M358="CD",1,0)</f>
        <v>1</v>
      </c>
      <c r="P358" s="81">
        <f>IF(Data!M358="CD",0,1)</f>
        <v>0</v>
      </c>
      <c r="Q358" s="81">
        <f>IF(Data!Q358&gt;Data!P358,DATEDIF(Data!P358,Data!Q358,"d"),0)</f>
        <v>0</v>
      </c>
      <c r="R358" s="81">
        <f>IF(Data!R358&gt;Data!Q358,DATEDIF(Data!Q358,Data!R358,"d"),0)</f>
        <v>37</v>
      </c>
      <c r="X358"/>
      <c r="Y358"/>
      <c r="Z358"/>
    </row>
    <row r="359" spans="2:26" ht="16" x14ac:dyDescent="0.2">
      <c r="B359" s="45"/>
      <c r="C359" s="80">
        <f t="shared" ca="1" si="11"/>
        <v>45959</v>
      </c>
      <c r="D359" s="81">
        <f ca="1">IF(Data!I359&lt;&gt;"",DATEDIF(Data!I359,C359,"m"),0)</f>
        <v>24</v>
      </c>
      <c r="E359" s="82">
        <f t="shared" ca="1" si="12"/>
        <v>2</v>
      </c>
      <c r="I359" s="81" t="str">
        <f>CONCATENATE(Data!M359,"-",Data!L359)</f>
        <v>CD-GE</v>
      </c>
      <c r="N359" s="81">
        <f>IF(Data!P359,DATEDIF(Data!O359,Data!P359,"d"),0)</f>
        <v>15</v>
      </c>
      <c r="O359" s="81">
        <f>IF(Data!M359="CD",1,0)</f>
        <v>1</v>
      </c>
      <c r="P359" s="81">
        <f>IF(Data!M359="CD",0,1)</f>
        <v>0</v>
      </c>
      <c r="Q359" s="81">
        <f>IF(Data!Q359&gt;Data!P359,DATEDIF(Data!P359,Data!Q359,"d"),0)</f>
        <v>1</v>
      </c>
      <c r="R359" s="81">
        <f>IF(Data!R359&gt;Data!Q359,DATEDIF(Data!Q359,Data!R359,"d"),0)</f>
        <v>8</v>
      </c>
      <c r="X359"/>
      <c r="Y359"/>
      <c r="Z359"/>
    </row>
    <row r="360" spans="2:26" ht="16" x14ac:dyDescent="0.2">
      <c r="B360" s="45"/>
      <c r="C360" s="80">
        <f t="shared" ca="1" si="11"/>
        <v>45959</v>
      </c>
      <c r="D360" s="81">
        <f>IF(Data!I360&lt;&gt;"",DATEDIF(Data!I360,C360,"m"),0)</f>
        <v>0</v>
      </c>
      <c r="E360" s="82">
        <f t="shared" si="12"/>
        <v>0</v>
      </c>
      <c r="I360" s="81" t="str">
        <f>CONCATENATE(Data!M360,"-",Data!L360)</f>
        <v>ML-CH</v>
      </c>
      <c r="N360" s="81">
        <f>IF(Data!P360,DATEDIF(Data!O360,Data!P360,"d"),0)</f>
        <v>52</v>
      </c>
      <c r="O360" s="81">
        <f>IF(Data!M360="CD",1,0)</f>
        <v>0</v>
      </c>
      <c r="P360" s="81">
        <f>IF(Data!M360="CD",0,1)</f>
        <v>1</v>
      </c>
      <c r="Q360" s="81">
        <f>IF(Data!Q360&gt;Data!P360,DATEDIF(Data!P360,Data!Q360,"d"),0)</f>
        <v>10</v>
      </c>
      <c r="R360" s="81">
        <f>IF(Data!R360&gt;Data!Q360,DATEDIF(Data!Q360,Data!R360,"d"),0)</f>
        <v>30</v>
      </c>
      <c r="X360"/>
      <c r="Y360"/>
      <c r="Z360"/>
    </row>
    <row r="361" spans="2:26" ht="16" x14ac:dyDescent="0.2">
      <c r="B361" s="45"/>
      <c r="C361" s="80">
        <f t="shared" ca="1" si="11"/>
        <v>45959</v>
      </c>
      <c r="D361" s="81">
        <f ca="1">IF(Data!I361&lt;&gt;"",DATEDIF(Data!I361,C361,"m"),0)</f>
        <v>45</v>
      </c>
      <c r="E361" s="82">
        <f t="shared" ca="1" si="12"/>
        <v>3.75</v>
      </c>
      <c r="I361" s="81" t="str">
        <f>CONCATENATE(Data!M361,"-",Data!L361)</f>
        <v>CD-VA</v>
      </c>
      <c r="N361" s="81">
        <f>IF(Data!P361,DATEDIF(Data!O361,Data!P361,"d"),0)</f>
        <v>115</v>
      </c>
      <c r="O361" s="81">
        <f>IF(Data!M361="CD",1,0)</f>
        <v>1</v>
      </c>
      <c r="P361" s="81">
        <f>IF(Data!M361="CD",0,1)</f>
        <v>0</v>
      </c>
      <c r="Q361" s="81">
        <f>IF(Data!Q361&gt;Data!P361,DATEDIF(Data!P361,Data!Q361,"d"),0)</f>
        <v>0</v>
      </c>
      <c r="R361" s="81">
        <f>IF(Data!R361&gt;Data!Q361,DATEDIF(Data!Q361,Data!R361,"d"),0)</f>
        <v>50</v>
      </c>
      <c r="X361"/>
      <c r="Y361"/>
      <c r="Z361"/>
    </row>
    <row r="362" spans="2:26" ht="16" x14ac:dyDescent="0.2">
      <c r="B362" s="45"/>
      <c r="C362" s="80">
        <f t="shared" ca="1" si="11"/>
        <v>45959</v>
      </c>
      <c r="D362" s="81">
        <f ca="1">IF(Data!I362&lt;&gt;"",DATEDIF(Data!I362,C362,"m"),0)</f>
        <v>27</v>
      </c>
      <c r="E362" s="82">
        <f t="shared" ca="1" si="12"/>
        <v>2.25</v>
      </c>
      <c r="I362" s="81" t="str">
        <f>CONCATENATE(Data!M362,"-",Data!L362)</f>
        <v>CD-GE</v>
      </c>
      <c r="N362" s="81">
        <f>IF(Data!P362,DATEDIF(Data!O362,Data!P362,"d"),0)</f>
        <v>9</v>
      </c>
      <c r="O362" s="81">
        <f>IF(Data!M362="CD",1,0)</f>
        <v>1</v>
      </c>
      <c r="P362" s="81">
        <f>IF(Data!M362="CD",0,1)</f>
        <v>0</v>
      </c>
      <c r="Q362" s="81">
        <f>IF(Data!Q362&gt;Data!P362,DATEDIF(Data!P362,Data!Q362,"d"),0)</f>
        <v>5</v>
      </c>
      <c r="R362" s="81">
        <f>IF(Data!R362&gt;Data!Q362,DATEDIF(Data!Q362,Data!R362,"d"),0)</f>
        <v>11</v>
      </c>
      <c r="X362"/>
      <c r="Y362"/>
      <c r="Z362"/>
    </row>
    <row r="363" spans="2:26" ht="16" x14ac:dyDescent="0.2">
      <c r="B363" s="45"/>
      <c r="C363" s="80">
        <f t="shared" ca="1" si="11"/>
        <v>45959</v>
      </c>
      <c r="D363" s="81">
        <f ca="1">IF(Data!I363&lt;&gt;"",DATEDIF(Data!I363,C363,"m"),0)</f>
        <v>93</v>
      </c>
      <c r="E363" s="82">
        <f t="shared" ca="1" si="12"/>
        <v>7.75</v>
      </c>
      <c r="I363" s="81" t="str">
        <f>CONCATENATE(Data!M363,"-",Data!L363)</f>
        <v>CD-VA</v>
      </c>
      <c r="N363" s="81">
        <f>IF(Data!P363,DATEDIF(Data!O363,Data!P363,"d"),0)</f>
        <v>9</v>
      </c>
      <c r="O363" s="81">
        <f>IF(Data!M363="CD",1,0)</f>
        <v>1</v>
      </c>
      <c r="P363" s="81">
        <f>IF(Data!M363="CD",0,1)</f>
        <v>0</v>
      </c>
      <c r="Q363" s="81">
        <f>IF(Data!Q363&gt;Data!P363,DATEDIF(Data!P363,Data!Q363,"d"),0)</f>
        <v>6</v>
      </c>
      <c r="R363" s="81">
        <f>IF(Data!R363&gt;Data!Q363,DATEDIF(Data!Q363,Data!R363,"d"),0)</f>
        <v>28</v>
      </c>
      <c r="X363"/>
      <c r="Y363"/>
      <c r="Z363"/>
    </row>
    <row r="364" spans="2:26" ht="16" x14ac:dyDescent="0.2">
      <c r="B364" s="45"/>
      <c r="C364" s="80">
        <f t="shared" ca="1" si="11"/>
        <v>45959</v>
      </c>
      <c r="D364" s="81">
        <f ca="1">IF(Data!I364&lt;&gt;"",DATEDIF(Data!I364,C364,"m"),0)</f>
        <v>129</v>
      </c>
      <c r="E364" s="82">
        <f t="shared" ca="1" si="12"/>
        <v>10.75</v>
      </c>
      <c r="I364" s="81" t="str">
        <f>CONCATENATE(Data!M364,"-",Data!L364)</f>
        <v>CD-VA</v>
      </c>
      <c r="N364" s="81">
        <f>IF(Data!P364,DATEDIF(Data!O364,Data!P364,"d"),0)</f>
        <v>3</v>
      </c>
      <c r="O364" s="81">
        <f>IF(Data!M364="CD",1,0)</f>
        <v>1</v>
      </c>
      <c r="P364" s="81">
        <f>IF(Data!M364="CD",0,1)</f>
        <v>0</v>
      </c>
      <c r="Q364" s="81">
        <f>IF(Data!Q364&gt;Data!P364,DATEDIF(Data!P364,Data!Q364,"d"),0)</f>
        <v>5</v>
      </c>
      <c r="R364" s="81">
        <f>IF(Data!R364&gt;Data!Q364,DATEDIF(Data!Q364,Data!R364,"d"),0)</f>
        <v>16</v>
      </c>
      <c r="X364"/>
      <c r="Y364"/>
      <c r="Z364"/>
    </row>
    <row r="365" spans="2:26" ht="16" x14ac:dyDescent="0.2">
      <c r="B365" s="45"/>
      <c r="C365" s="80">
        <f t="shared" ca="1" si="11"/>
        <v>45959</v>
      </c>
      <c r="D365" s="81">
        <f>IF(Data!I365&lt;&gt;"",DATEDIF(Data!I365,C365,"m"),0)</f>
        <v>0</v>
      </c>
      <c r="E365" s="82">
        <f t="shared" si="12"/>
        <v>0</v>
      </c>
      <c r="I365" s="81" t="str">
        <f>CONCATENATE(Data!M365,"-",Data!L365)</f>
        <v>CI-BA</v>
      </c>
      <c r="N365" s="81">
        <f>IF(Data!P365,DATEDIF(Data!O365,Data!P365,"d"),0)</f>
        <v>0</v>
      </c>
      <c r="O365" s="81">
        <f>IF(Data!M365="CD",1,0)</f>
        <v>0</v>
      </c>
      <c r="P365" s="81">
        <f>IF(Data!M365="CD",0,1)</f>
        <v>1</v>
      </c>
      <c r="Q365" s="81">
        <f>IF(Data!Q365&gt;Data!P365,DATEDIF(Data!P365,Data!Q365,"d"),0)</f>
        <v>18</v>
      </c>
      <c r="R365" s="81">
        <f>IF(Data!R365&gt;Data!Q365,DATEDIF(Data!Q365,Data!R365,"d"),0)</f>
        <v>10</v>
      </c>
      <c r="X365"/>
      <c r="Y365"/>
      <c r="Z365"/>
    </row>
    <row r="366" spans="2:26" ht="16" x14ac:dyDescent="0.2">
      <c r="B366" s="45"/>
      <c r="C366" s="80">
        <f t="shared" ca="1" si="11"/>
        <v>45959</v>
      </c>
      <c r="D366" s="81">
        <f ca="1">IF(Data!I366&lt;&gt;"",DATEDIF(Data!I366,C366,"m"),0)</f>
        <v>33</v>
      </c>
      <c r="E366" s="82">
        <f t="shared" ca="1" si="12"/>
        <v>2.75</v>
      </c>
      <c r="I366" s="81" t="str">
        <f>CONCATENATE(Data!M366,"-",Data!L366)</f>
        <v>CD-VA</v>
      </c>
      <c r="N366" s="81">
        <f>IF(Data!P366,DATEDIF(Data!O366,Data!P366,"d"),0)</f>
        <v>269</v>
      </c>
      <c r="O366" s="81">
        <f>IF(Data!M366="CD",1,0)</f>
        <v>1</v>
      </c>
      <c r="P366" s="81">
        <f>IF(Data!M366="CD",0,1)</f>
        <v>0</v>
      </c>
      <c r="Q366" s="81">
        <f>IF(Data!Q366&gt;Data!P366,DATEDIF(Data!P366,Data!Q366,"d"),0)</f>
        <v>0</v>
      </c>
      <c r="R366" s="81">
        <f>IF(Data!R366&gt;Data!Q366,DATEDIF(Data!Q366,Data!R366,"d"),0)</f>
        <v>17</v>
      </c>
      <c r="X366"/>
      <c r="Y366"/>
      <c r="Z366"/>
    </row>
    <row r="367" spans="2:26" ht="16" x14ac:dyDescent="0.2">
      <c r="B367" s="45"/>
      <c r="C367" s="80">
        <f t="shared" ca="1" si="11"/>
        <v>45959</v>
      </c>
      <c r="D367" s="81">
        <f ca="1">IF(Data!I367&lt;&gt;"",DATEDIF(Data!I367,C367,"m"),0)</f>
        <v>196</v>
      </c>
      <c r="E367" s="82">
        <f t="shared" ca="1" si="12"/>
        <v>16.333333333333332</v>
      </c>
      <c r="I367" s="81" t="str">
        <f>CONCATENATE(Data!M367,"-",Data!L367)</f>
        <v>CI-VA</v>
      </c>
      <c r="N367" s="81">
        <f>IF(Data!P367,DATEDIF(Data!O367,Data!P367,"d"),0)</f>
        <v>57</v>
      </c>
      <c r="O367" s="81">
        <f>IF(Data!M367="CD",1,0)</f>
        <v>0</v>
      </c>
      <c r="P367" s="81">
        <f>IF(Data!M367="CD",0,1)</f>
        <v>1</v>
      </c>
      <c r="Q367" s="81">
        <f>IF(Data!Q367&gt;Data!P367,DATEDIF(Data!P367,Data!Q367,"d"),0)</f>
        <v>0</v>
      </c>
      <c r="R367" s="81">
        <f>IF(Data!R367&gt;Data!Q367,DATEDIF(Data!Q367,Data!R367,"d"),0)</f>
        <v>51</v>
      </c>
      <c r="X367"/>
      <c r="Y367"/>
      <c r="Z367"/>
    </row>
    <row r="368" spans="2:26" ht="16" x14ac:dyDescent="0.2">
      <c r="B368" s="45"/>
      <c r="C368" s="80">
        <f t="shared" ca="1" si="11"/>
        <v>45959</v>
      </c>
      <c r="D368" s="81">
        <f>IF(Data!I368&lt;&gt;"",DATEDIF(Data!I368,C368,"m"),0)</f>
        <v>0</v>
      </c>
      <c r="E368" s="82">
        <f t="shared" si="12"/>
        <v>0</v>
      </c>
      <c r="I368" s="81" t="str">
        <f>CONCATENATE(Data!M368,"-",Data!L368)</f>
        <v>CD-GE</v>
      </c>
      <c r="N368" s="81">
        <f>IF(Data!P368,DATEDIF(Data!O368,Data!P368,"d"),0)</f>
        <v>19</v>
      </c>
      <c r="O368" s="81">
        <f>IF(Data!M368="CD",1,0)</f>
        <v>1</v>
      </c>
      <c r="P368" s="81">
        <f>IF(Data!M368="CD",0,1)</f>
        <v>0</v>
      </c>
      <c r="Q368" s="81">
        <f>IF(Data!Q368&gt;Data!P368,DATEDIF(Data!P368,Data!Q368,"d"),0)</f>
        <v>1</v>
      </c>
      <c r="R368" s="81">
        <f>IF(Data!R368&gt;Data!Q368,DATEDIF(Data!Q368,Data!R368,"d"),0)</f>
        <v>8</v>
      </c>
      <c r="X368"/>
      <c r="Y368"/>
      <c r="Z368"/>
    </row>
    <row r="369" spans="2:26" ht="16" x14ac:dyDescent="0.2">
      <c r="B369" s="45"/>
      <c r="C369" s="80">
        <f t="shared" ca="1" si="11"/>
        <v>45959</v>
      </c>
      <c r="D369" s="81">
        <f>IF(Data!I369&lt;&gt;"",DATEDIF(Data!I369,C369,"m"),0)</f>
        <v>0</v>
      </c>
      <c r="E369" s="82">
        <f t="shared" si="12"/>
        <v>0</v>
      </c>
      <c r="I369" s="81" t="str">
        <f>CONCATENATE(Data!M369,"-",Data!L369)</f>
        <v>ML-GE</v>
      </c>
      <c r="N369" s="81">
        <f>IF(Data!P369,DATEDIF(Data!O369,Data!P369,"d"),0)</f>
        <v>0</v>
      </c>
      <c r="O369" s="81">
        <f>IF(Data!M369="CD",1,0)</f>
        <v>0</v>
      </c>
      <c r="P369" s="81">
        <f>IF(Data!M369="CD",0,1)</f>
        <v>1</v>
      </c>
      <c r="Q369" s="81">
        <f>IF(Data!Q369&gt;Data!P369,DATEDIF(Data!P369,Data!Q369,"d"),0)</f>
        <v>20</v>
      </c>
      <c r="R369" s="81">
        <f>IF(Data!R369&gt;Data!Q369,DATEDIF(Data!Q369,Data!R369,"d"),0)</f>
        <v>25</v>
      </c>
      <c r="X369"/>
      <c r="Y369"/>
      <c r="Z369"/>
    </row>
    <row r="370" spans="2:26" ht="16" x14ac:dyDescent="0.2">
      <c r="B370" s="45"/>
      <c r="C370" s="80">
        <f t="shared" ca="1" si="11"/>
        <v>45959</v>
      </c>
      <c r="D370" s="81">
        <f ca="1">IF(Data!I370&lt;&gt;"",DATEDIF(Data!I370,C370,"m"),0)</f>
        <v>55</v>
      </c>
      <c r="E370" s="82">
        <f t="shared" ca="1" si="12"/>
        <v>4.583333333333333</v>
      </c>
      <c r="I370" s="81" t="str">
        <f>CONCATENATE(Data!M370,"-",Data!L370)</f>
        <v>CD-VA</v>
      </c>
      <c r="N370" s="81">
        <f>IF(Data!P370,DATEDIF(Data!O370,Data!P370,"d"),0)</f>
        <v>1</v>
      </c>
      <c r="O370" s="81">
        <f>IF(Data!M370="CD",1,0)</f>
        <v>1</v>
      </c>
      <c r="P370" s="81">
        <f>IF(Data!M370="CD",0,1)</f>
        <v>0</v>
      </c>
      <c r="Q370" s="81">
        <f>IF(Data!Q370&gt;Data!P370,DATEDIF(Data!P370,Data!Q370,"d"),0)</f>
        <v>5</v>
      </c>
      <c r="R370" s="81">
        <f>IF(Data!R370&gt;Data!Q370,DATEDIF(Data!Q370,Data!R370,"d"),0)</f>
        <v>34</v>
      </c>
      <c r="X370"/>
      <c r="Y370"/>
      <c r="Z370"/>
    </row>
    <row r="371" spans="2:26" ht="16" x14ac:dyDescent="0.2">
      <c r="B371" s="45"/>
      <c r="C371" s="80">
        <f t="shared" ca="1" si="11"/>
        <v>45959</v>
      </c>
      <c r="D371" s="81">
        <f ca="1">IF(Data!I371&lt;&gt;"",DATEDIF(Data!I371,C371,"m"),0)</f>
        <v>69</v>
      </c>
      <c r="E371" s="82">
        <f t="shared" ca="1" si="12"/>
        <v>5.75</v>
      </c>
      <c r="I371" s="81" t="str">
        <f>CONCATENATE(Data!M371,"-",Data!L371)</f>
        <v>CD-GE</v>
      </c>
      <c r="N371" s="81">
        <f>IF(Data!P371,DATEDIF(Data!O371,Data!P371,"d"),0)</f>
        <v>124</v>
      </c>
      <c r="O371" s="81">
        <f>IF(Data!M371="CD",1,0)</f>
        <v>1</v>
      </c>
      <c r="P371" s="81">
        <f>IF(Data!M371="CD",0,1)</f>
        <v>0</v>
      </c>
      <c r="Q371" s="81">
        <f>IF(Data!Q371&gt;Data!P371,DATEDIF(Data!P371,Data!Q371,"d"),0)</f>
        <v>0</v>
      </c>
      <c r="R371" s="81">
        <f>IF(Data!R371&gt;Data!Q371,DATEDIF(Data!Q371,Data!R371,"d"),0)</f>
        <v>15</v>
      </c>
      <c r="X371"/>
      <c r="Y371"/>
      <c r="Z371"/>
    </row>
    <row r="372" spans="2:26" ht="16" x14ac:dyDescent="0.2">
      <c r="B372" s="45"/>
      <c r="C372" s="80">
        <f t="shared" ca="1" si="11"/>
        <v>45959</v>
      </c>
      <c r="D372" s="81">
        <f ca="1">IF(Data!I372&lt;&gt;"",DATEDIF(Data!I372,C372,"m"),0)</f>
        <v>29</v>
      </c>
      <c r="E372" s="82">
        <f t="shared" ca="1" si="12"/>
        <v>2.4166666666666665</v>
      </c>
      <c r="I372" s="81" t="str">
        <f>CONCATENATE(Data!M372,"-",Data!L372)</f>
        <v>CD-CH</v>
      </c>
      <c r="N372" s="81">
        <f>IF(Data!P372,DATEDIF(Data!O372,Data!P372,"d"),0)</f>
        <v>5</v>
      </c>
      <c r="O372" s="81">
        <f>IF(Data!M372="CD",1,0)</f>
        <v>1</v>
      </c>
      <c r="P372" s="81">
        <f>IF(Data!M372="CD",0,1)</f>
        <v>0</v>
      </c>
      <c r="Q372" s="81">
        <f>IF(Data!Q372&gt;Data!P372,DATEDIF(Data!P372,Data!Q372,"d"),0)</f>
        <v>1</v>
      </c>
      <c r="R372" s="81">
        <f>IF(Data!R372&gt;Data!Q372,DATEDIF(Data!Q372,Data!R372,"d"),0)</f>
        <v>14</v>
      </c>
      <c r="X372"/>
      <c r="Y372"/>
      <c r="Z372"/>
    </row>
    <row r="373" spans="2:26" ht="16" x14ac:dyDescent="0.2">
      <c r="B373" s="45"/>
      <c r="C373" s="80">
        <f t="shared" ca="1" si="11"/>
        <v>45959</v>
      </c>
      <c r="D373" s="81">
        <f ca="1">IF(Data!I373&lt;&gt;"",DATEDIF(Data!I373,C373,"m"),0)</f>
        <v>22</v>
      </c>
      <c r="E373" s="82">
        <f t="shared" ca="1" si="12"/>
        <v>1.8333333333333333</v>
      </c>
      <c r="I373" s="81" t="str">
        <f>CONCATENATE(Data!M373,"-",Data!L373)</f>
        <v>CD-VA</v>
      </c>
      <c r="N373" s="81">
        <f>IF(Data!P373,DATEDIF(Data!O373,Data!P373,"d"),0)</f>
        <v>186</v>
      </c>
      <c r="O373" s="81">
        <f>IF(Data!M373="CD",1,0)</f>
        <v>1</v>
      </c>
      <c r="P373" s="81">
        <f>IF(Data!M373="CD",0,1)</f>
        <v>0</v>
      </c>
      <c r="Q373" s="81">
        <f>IF(Data!Q373&gt;Data!P373,DATEDIF(Data!P373,Data!Q373,"d"),0)</f>
        <v>0</v>
      </c>
      <c r="R373" s="81">
        <f>IF(Data!R373&gt;Data!Q373,DATEDIF(Data!Q373,Data!R373,"d"),0)</f>
        <v>18</v>
      </c>
      <c r="X373"/>
      <c r="Y373"/>
      <c r="Z373"/>
    </row>
    <row r="374" spans="2:26" ht="16" x14ac:dyDescent="0.2">
      <c r="B374" s="45"/>
      <c r="C374" s="80">
        <f t="shared" ca="1" si="11"/>
        <v>45959</v>
      </c>
      <c r="D374" s="81">
        <f ca="1">IF(Data!I374&lt;&gt;"",DATEDIF(Data!I374,C374,"m"),0)</f>
        <v>12</v>
      </c>
      <c r="E374" s="82">
        <f t="shared" ca="1" si="12"/>
        <v>1</v>
      </c>
      <c r="I374" s="81" t="str">
        <f>CONCATENATE(Data!M374,"-",Data!L374)</f>
        <v>CD-GE</v>
      </c>
      <c r="N374" s="81">
        <f>IF(Data!P374,DATEDIF(Data!O374,Data!P374,"d"),0)</f>
        <v>0</v>
      </c>
      <c r="O374" s="81">
        <f>IF(Data!M374="CD",1,0)</f>
        <v>1</v>
      </c>
      <c r="P374" s="81">
        <f>IF(Data!M374="CD",0,1)</f>
        <v>0</v>
      </c>
      <c r="Q374" s="81">
        <f>IF(Data!Q374&gt;Data!P374,DATEDIF(Data!P374,Data!Q374,"d"),0)</f>
        <v>6</v>
      </c>
      <c r="R374" s="81">
        <f>IF(Data!R374&gt;Data!Q374,DATEDIF(Data!Q374,Data!R374,"d"),0)</f>
        <v>33</v>
      </c>
      <c r="X374"/>
      <c r="Y374"/>
      <c r="Z374"/>
    </row>
    <row r="375" spans="2:26" ht="16" x14ac:dyDescent="0.2">
      <c r="B375" s="45"/>
      <c r="C375" s="80">
        <f t="shared" ca="1" si="11"/>
        <v>45959</v>
      </c>
      <c r="D375" s="81">
        <f ca="1">IF(Data!I375&lt;&gt;"",DATEDIF(Data!I375,C375,"m"),0)</f>
        <v>177</v>
      </c>
      <c r="E375" s="82">
        <f t="shared" ca="1" si="12"/>
        <v>14.75</v>
      </c>
      <c r="I375" s="81" t="str">
        <f>CONCATENATE(Data!M375,"-",Data!L375)</f>
        <v>CD-BA</v>
      </c>
      <c r="N375" s="81">
        <f>IF(Data!P375,DATEDIF(Data!O375,Data!P375,"d"),0)</f>
        <v>0</v>
      </c>
      <c r="O375" s="81">
        <f>IF(Data!M375="CD",1,0)</f>
        <v>1</v>
      </c>
      <c r="P375" s="81">
        <f>IF(Data!M375="CD",0,1)</f>
        <v>0</v>
      </c>
      <c r="Q375" s="81">
        <f>IF(Data!Q375&gt;Data!P375,DATEDIF(Data!P375,Data!Q375,"d"),0)</f>
        <v>15</v>
      </c>
      <c r="R375" s="81">
        <f>IF(Data!R375&gt;Data!Q375,DATEDIF(Data!Q375,Data!R375,"d"),0)</f>
        <v>24</v>
      </c>
      <c r="X375"/>
      <c r="Y375"/>
      <c r="Z375"/>
    </row>
    <row r="376" spans="2:26" ht="16" x14ac:dyDescent="0.2">
      <c r="B376" s="45"/>
      <c r="C376" s="80">
        <f t="shared" ca="1" si="11"/>
        <v>45959</v>
      </c>
      <c r="D376" s="81">
        <f ca="1">IF(Data!I376&lt;&gt;"",DATEDIF(Data!I376,C376,"m"),0)</f>
        <v>33</v>
      </c>
      <c r="E376" s="82">
        <f t="shared" ca="1" si="12"/>
        <v>2.75</v>
      </c>
      <c r="I376" s="81" t="str">
        <f>CONCATENATE(Data!M376,"-",Data!L376)</f>
        <v>CD-VA</v>
      </c>
      <c r="N376" s="81">
        <f>IF(Data!P376,DATEDIF(Data!O376,Data!P376,"d"),0)</f>
        <v>1</v>
      </c>
      <c r="O376" s="81">
        <f>IF(Data!M376="CD",1,0)</f>
        <v>1</v>
      </c>
      <c r="P376" s="81">
        <f>IF(Data!M376="CD",0,1)</f>
        <v>0</v>
      </c>
      <c r="Q376" s="81">
        <f>IF(Data!Q376&gt;Data!P376,DATEDIF(Data!P376,Data!Q376,"d"),0)</f>
        <v>0</v>
      </c>
      <c r="R376" s="81">
        <f>IF(Data!R376&gt;Data!Q376,DATEDIF(Data!Q376,Data!R376,"d"),0)</f>
        <v>21</v>
      </c>
      <c r="X376"/>
      <c r="Y376"/>
      <c r="Z376"/>
    </row>
    <row r="377" spans="2:26" ht="16" x14ac:dyDescent="0.2">
      <c r="B377" s="45"/>
      <c r="C377" s="80">
        <f t="shared" ca="1" si="11"/>
        <v>45959</v>
      </c>
      <c r="D377" s="81">
        <f ca="1">IF(Data!I377&lt;&gt;"",DATEDIF(Data!I377,C377,"m"),0)</f>
        <v>92</v>
      </c>
      <c r="E377" s="82">
        <f t="shared" ca="1" si="12"/>
        <v>7.666666666666667</v>
      </c>
      <c r="I377" s="81" t="str">
        <f>CONCATENATE(Data!M377,"-",Data!L377)</f>
        <v>CD-CH</v>
      </c>
      <c r="N377" s="81">
        <f>IF(Data!P377,DATEDIF(Data!O377,Data!P377,"d"),0)</f>
        <v>0</v>
      </c>
      <c r="O377" s="81">
        <f>IF(Data!M377="CD",1,0)</f>
        <v>1</v>
      </c>
      <c r="P377" s="81">
        <f>IF(Data!M377="CD",0,1)</f>
        <v>0</v>
      </c>
      <c r="Q377" s="81">
        <f>IF(Data!Q377&gt;Data!P377,DATEDIF(Data!P377,Data!Q377,"d"),0)</f>
        <v>2</v>
      </c>
      <c r="R377" s="81">
        <f>IF(Data!R377&gt;Data!Q377,DATEDIF(Data!Q377,Data!R377,"d"),0)</f>
        <v>5</v>
      </c>
      <c r="X377"/>
      <c r="Y377"/>
      <c r="Z377"/>
    </row>
    <row r="378" spans="2:26" ht="16" x14ac:dyDescent="0.2">
      <c r="B378" s="45"/>
      <c r="C378" s="80">
        <f t="shared" ca="1" si="11"/>
        <v>45959</v>
      </c>
      <c r="D378" s="81">
        <f ca="1">IF(Data!I378&lt;&gt;"",DATEDIF(Data!I378,C378,"m"),0)</f>
        <v>64</v>
      </c>
      <c r="E378" s="82">
        <f t="shared" ca="1" si="12"/>
        <v>5.333333333333333</v>
      </c>
      <c r="I378" s="81" t="str">
        <f>CONCATENATE(Data!M378,"-",Data!L378)</f>
        <v>CD-GE</v>
      </c>
      <c r="N378" s="81">
        <f>IF(Data!P378,DATEDIF(Data!O378,Data!P378,"d"),0)</f>
        <v>1</v>
      </c>
      <c r="O378" s="81">
        <f>IF(Data!M378="CD",1,0)</f>
        <v>1</v>
      </c>
      <c r="P378" s="81">
        <f>IF(Data!M378="CD",0,1)</f>
        <v>0</v>
      </c>
      <c r="Q378" s="81">
        <f>IF(Data!Q378&gt;Data!P378,DATEDIF(Data!P378,Data!Q378,"d"),0)</f>
        <v>6</v>
      </c>
      <c r="R378" s="81">
        <f>IF(Data!R378&gt;Data!Q378,DATEDIF(Data!Q378,Data!R378,"d"),0)</f>
        <v>22</v>
      </c>
      <c r="X378"/>
      <c r="Y378"/>
      <c r="Z378"/>
    </row>
    <row r="379" spans="2:26" ht="16" x14ac:dyDescent="0.2">
      <c r="B379" s="45"/>
      <c r="C379" s="80">
        <f t="shared" ca="1" si="11"/>
        <v>45959</v>
      </c>
      <c r="D379" s="81">
        <f ca="1">IF(Data!I379&lt;&gt;"",DATEDIF(Data!I379,C379,"m"),0)</f>
        <v>213</v>
      </c>
      <c r="E379" s="82">
        <f t="shared" ca="1" si="12"/>
        <v>17.75</v>
      </c>
      <c r="I379" s="81" t="str">
        <f>CONCATENATE(Data!M379,"-",Data!L379)</f>
        <v>CD-VA</v>
      </c>
      <c r="N379" s="81">
        <f>IF(Data!P379,DATEDIF(Data!O379,Data!P379,"d"),0)</f>
        <v>1</v>
      </c>
      <c r="O379" s="81">
        <f>IF(Data!M379="CD",1,0)</f>
        <v>1</v>
      </c>
      <c r="P379" s="81">
        <f>IF(Data!M379="CD",0,1)</f>
        <v>0</v>
      </c>
      <c r="Q379" s="81">
        <f>IF(Data!Q379&gt;Data!P379,DATEDIF(Data!P379,Data!Q379,"d"),0)</f>
        <v>4</v>
      </c>
      <c r="R379" s="81">
        <f>IF(Data!R379&gt;Data!Q379,DATEDIF(Data!Q379,Data!R379,"d"),0)</f>
        <v>24</v>
      </c>
      <c r="X379"/>
      <c r="Y379"/>
      <c r="Z379"/>
    </row>
    <row r="380" spans="2:26" ht="16" x14ac:dyDescent="0.2">
      <c r="B380" s="45"/>
      <c r="C380" s="80">
        <f t="shared" ca="1" si="11"/>
        <v>45959</v>
      </c>
      <c r="D380" s="81">
        <f ca="1">IF(Data!I380&lt;&gt;"",DATEDIF(Data!I380,C380,"m"),0)</f>
        <v>68</v>
      </c>
      <c r="E380" s="82">
        <f t="shared" ca="1" si="12"/>
        <v>5.666666666666667</v>
      </c>
      <c r="I380" s="81" t="str">
        <f>CONCATENATE(Data!M380,"-",Data!L380)</f>
        <v>CD-VA</v>
      </c>
      <c r="N380" s="81">
        <f>IF(Data!P380,DATEDIF(Data!O380,Data!P380,"d"),0)</f>
        <v>1</v>
      </c>
      <c r="O380" s="81">
        <f>IF(Data!M380="CD",1,0)</f>
        <v>1</v>
      </c>
      <c r="P380" s="81">
        <f>IF(Data!M380="CD",0,1)</f>
        <v>0</v>
      </c>
      <c r="Q380" s="81">
        <f>IF(Data!Q380&gt;Data!P380,DATEDIF(Data!P380,Data!Q380,"d"),0)</f>
        <v>1</v>
      </c>
      <c r="R380" s="81">
        <f>IF(Data!R380&gt;Data!Q380,DATEDIF(Data!Q380,Data!R380,"d"),0)</f>
        <v>27</v>
      </c>
      <c r="X380"/>
      <c r="Y380"/>
      <c r="Z380"/>
    </row>
    <row r="381" spans="2:26" ht="16" x14ac:dyDescent="0.2">
      <c r="B381" s="45"/>
      <c r="C381" s="80">
        <f t="shared" ca="1" si="11"/>
        <v>45959</v>
      </c>
      <c r="D381" s="81">
        <f ca="1">IF(Data!I381&lt;&gt;"",DATEDIF(Data!I381,C381,"m"),0)</f>
        <v>83</v>
      </c>
      <c r="E381" s="82">
        <f t="shared" ca="1" si="12"/>
        <v>6.916666666666667</v>
      </c>
      <c r="I381" s="81" t="str">
        <f>CONCATENATE(Data!M381,"-",Data!L381)</f>
        <v>CD-GE</v>
      </c>
      <c r="N381" s="81">
        <f>IF(Data!P381,DATEDIF(Data!O381,Data!P381,"d"),0)</f>
        <v>1</v>
      </c>
      <c r="O381" s="81">
        <f>IF(Data!M381="CD",1,0)</f>
        <v>1</v>
      </c>
      <c r="P381" s="81">
        <f>IF(Data!M381="CD",0,1)</f>
        <v>0</v>
      </c>
      <c r="Q381" s="81">
        <f>IF(Data!Q381&gt;Data!P381,DATEDIF(Data!P381,Data!Q381,"d"),0)</f>
        <v>1</v>
      </c>
      <c r="R381" s="81">
        <f>IF(Data!R381&gt;Data!Q381,DATEDIF(Data!Q381,Data!R381,"d"),0)</f>
        <v>15</v>
      </c>
      <c r="X381"/>
      <c r="Y381"/>
      <c r="Z381"/>
    </row>
    <row r="382" spans="2:26" ht="16" x14ac:dyDescent="0.2">
      <c r="B382" s="45"/>
      <c r="C382" s="80">
        <f t="shared" ca="1" si="11"/>
        <v>45959</v>
      </c>
      <c r="D382" s="81">
        <f ca="1">IF(Data!I382&lt;&gt;"",DATEDIF(Data!I382,C382,"m"),0)</f>
        <v>186</v>
      </c>
      <c r="E382" s="82">
        <f t="shared" ca="1" si="12"/>
        <v>15.5</v>
      </c>
      <c r="I382" s="81" t="str">
        <f>CONCATENATE(Data!M382,"-",Data!L382)</f>
        <v>CD-CH</v>
      </c>
      <c r="N382" s="81">
        <f>IF(Data!P382,DATEDIF(Data!O382,Data!P382,"d"),0)</f>
        <v>34</v>
      </c>
      <c r="O382" s="81">
        <f>IF(Data!M382="CD",1,0)</f>
        <v>1</v>
      </c>
      <c r="P382" s="81">
        <f>IF(Data!M382="CD",0,1)</f>
        <v>0</v>
      </c>
      <c r="Q382" s="81">
        <f>IF(Data!Q382&gt;Data!P382,DATEDIF(Data!P382,Data!Q382,"d"),0)</f>
        <v>0</v>
      </c>
      <c r="R382" s="81">
        <f>IF(Data!R382&gt;Data!Q382,DATEDIF(Data!Q382,Data!R382,"d"),0)</f>
        <v>11</v>
      </c>
      <c r="X382"/>
      <c r="Y382"/>
      <c r="Z382"/>
    </row>
    <row r="383" spans="2:26" ht="16" x14ac:dyDescent="0.2">
      <c r="B383" s="45"/>
      <c r="C383" s="80">
        <f t="shared" ca="1" si="11"/>
        <v>45959</v>
      </c>
      <c r="D383" s="81">
        <f>IF(Data!I383&lt;&gt;"",DATEDIF(Data!I383,C383,"m"),0)</f>
        <v>0</v>
      </c>
      <c r="E383" s="82">
        <f t="shared" si="12"/>
        <v>0</v>
      </c>
      <c r="I383" s="81" t="str">
        <f>CONCATENATE(Data!M383,"-",Data!L383)</f>
        <v>CD-BA</v>
      </c>
      <c r="N383" s="81">
        <f>IF(Data!P383,DATEDIF(Data!O383,Data!P383,"d"),0)</f>
        <v>2</v>
      </c>
      <c r="O383" s="81">
        <f>IF(Data!M383="CD",1,0)</f>
        <v>1</v>
      </c>
      <c r="P383" s="81">
        <f>IF(Data!M383="CD",0,1)</f>
        <v>0</v>
      </c>
      <c r="Q383" s="81">
        <f>IF(Data!Q383&gt;Data!P383,DATEDIF(Data!P383,Data!Q383,"d"),0)</f>
        <v>3</v>
      </c>
      <c r="R383" s="81">
        <f>IF(Data!R383&gt;Data!Q383,DATEDIF(Data!Q383,Data!R383,"d"),0)</f>
        <v>21</v>
      </c>
      <c r="X383"/>
      <c r="Y383"/>
      <c r="Z383"/>
    </row>
    <row r="384" spans="2:26" ht="16" x14ac:dyDescent="0.2">
      <c r="B384" s="45"/>
      <c r="C384" s="80">
        <f t="shared" ca="1" si="11"/>
        <v>45959</v>
      </c>
      <c r="D384" s="81">
        <f>IF(Data!I384&lt;&gt;"",DATEDIF(Data!I384,C384,"m"),0)</f>
        <v>0</v>
      </c>
      <c r="E384" s="82">
        <f t="shared" si="12"/>
        <v>0</v>
      </c>
      <c r="I384" s="81" t="str">
        <f>CONCATENATE(Data!M384,"-",Data!L384)</f>
        <v>CD-VA</v>
      </c>
      <c r="N384" s="81">
        <f>IF(Data!P384,DATEDIF(Data!O384,Data!P384,"d"),0)</f>
        <v>9</v>
      </c>
      <c r="O384" s="81">
        <f>IF(Data!M384="CD",1,0)</f>
        <v>1</v>
      </c>
      <c r="P384" s="81">
        <f>IF(Data!M384="CD",0,1)</f>
        <v>0</v>
      </c>
      <c r="Q384" s="81">
        <f>IF(Data!Q384&gt;Data!P384,DATEDIF(Data!P384,Data!Q384,"d"),0)</f>
        <v>2</v>
      </c>
      <c r="R384" s="81">
        <f>IF(Data!R384&gt;Data!Q384,DATEDIF(Data!Q384,Data!R384,"d"),0)</f>
        <v>11</v>
      </c>
      <c r="X384"/>
      <c r="Y384"/>
      <c r="Z384"/>
    </row>
    <row r="385" spans="2:26" ht="16" x14ac:dyDescent="0.2">
      <c r="B385" s="45"/>
      <c r="C385" s="80">
        <f t="shared" ca="1" si="11"/>
        <v>45959</v>
      </c>
      <c r="D385" s="81">
        <f ca="1">IF(Data!I385&lt;&gt;"",DATEDIF(Data!I385,C385,"m"),0)</f>
        <v>157</v>
      </c>
      <c r="E385" s="82">
        <f t="shared" ca="1" si="12"/>
        <v>13.083333333333334</v>
      </c>
      <c r="I385" s="81" t="str">
        <f>CONCATENATE(Data!M385,"-",Data!L385)</f>
        <v>CD-VA</v>
      </c>
      <c r="N385" s="81">
        <f>IF(Data!P385,DATEDIF(Data!O385,Data!P385,"d"),0)</f>
        <v>0</v>
      </c>
      <c r="O385" s="81">
        <f>IF(Data!M385="CD",1,0)</f>
        <v>1</v>
      </c>
      <c r="P385" s="81">
        <f>IF(Data!M385="CD",0,1)</f>
        <v>0</v>
      </c>
      <c r="Q385" s="81">
        <f>IF(Data!Q385&gt;Data!P385,DATEDIF(Data!P385,Data!Q385,"d"),0)</f>
        <v>7</v>
      </c>
      <c r="R385" s="81">
        <f>IF(Data!R385&gt;Data!Q385,DATEDIF(Data!Q385,Data!R385,"d"),0)</f>
        <v>18</v>
      </c>
      <c r="X385"/>
      <c r="Y385"/>
      <c r="Z385"/>
    </row>
    <row r="386" spans="2:26" ht="16" x14ac:dyDescent="0.2">
      <c r="B386" s="45"/>
      <c r="C386" s="80">
        <f t="shared" ref="C386:C449" ca="1" si="13">TODAY()</f>
        <v>45959</v>
      </c>
      <c r="D386" s="81">
        <f ca="1">IF(Data!I386&lt;&gt;"",DATEDIF(Data!I386,C386,"m"),0)</f>
        <v>91</v>
      </c>
      <c r="E386" s="82">
        <f t="shared" ca="1" si="12"/>
        <v>7.583333333333333</v>
      </c>
      <c r="I386" s="81" t="str">
        <f>CONCATENATE(Data!M386,"-",Data!L386)</f>
        <v>CD-BA</v>
      </c>
      <c r="N386" s="81">
        <f>IF(Data!P386,DATEDIF(Data!O386,Data!P386,"d"),0)</f>
        <v>0</v>
      </c>
      <c r="O386" s="81">
        <f>IF(Data!M386="CD",1,0)</f>
        <v>1</v>
      </c>
      <c r="P386" s="81">
        <f>IF(Data!M386="CD",0,1)</f>
        <v>0</v>
      </c>
      <c r="Q386" s="81">
        <f>IF(Data!Q386&gt;Data!P386,DATEDIF(Data!P386,Data!Q386,"d"),0)</f>
        <v>3</v>
      </c>
      <c r="R386" s="81">
        <f>IF(Data!R386&gt;Data!Q386,DATEDIF(Data!Q386,Data!R386,"d"),0)</f>
        <v>6</v>
      </c>
      <c r="X386"/>
      <c r="Y386"/>
      <c r="Z386"/>
    </row>
    <row r="387" spans="2:26" ht="16" x14ac:dyDescent="0.2">
      <c r="B387" s="45"/>
      <c r="C387" s="80">
        <f t="shared" ca="1" si="13"/>
        <v>45959</v>
      </c>
      <c r="D387" s="81">
        <f ca="1">IF(Data!I387&lt;&gt;"",DATEDIF(Data!I387,C387,"m"),0)</f>
        <v>38</v>
      </c>
      <c r="E387" s="82">
        <f t="shared" ref="E387:E450" ca="1" si="14">D387/12</f>
        <v>3.1666666666666665</v>
      </c>
      <c r="I387" s="81" t="str">
        <f>CONCATENATE(Data!M387,"-",Data!L387)</f>
        <v>CD-BA</v>
      </c>
      <c r="N387" s="81">
        <f>IF(Data!P387,DATEDIF(Data!O387,Data!P387,"d"),0)</f>
        <v>0</v>
      </c>
      <c r="O387" s="81">
        <f>IF(Data!M387="CD",1,0)</f>
        <v>1</v>
      </c>
      <c r="P387" s="81">
        <f>IF(Data!M387="CD",0,1)</f>
        <v>0</v>
      </c>
      <c r="Q387" s="81">
        <f>IF(Data!Q387&gt;Data!P387,DATEDIF(Data!P387,Data!Q387,"d"),0)</f>
        <v>5</v>
      </c>
      <c r="R387" s="81">
        <f>IF(Data!R387&gt;Data!Q387,DATEDIF(Data!Q387,Data!R387,"d"),0)</f>
        <v>2</v>
      </c>
      <c r="X387"/>
      <c r="Y387"/>
      <c r="Z387"/>
    </row>
    <row r="388" spans="2:26" ht="16" x14ac:dyDescent="0.2">
      <c r="B388" s="45"/>
      <c r="C388" s="80">
        <f t="shared" ca="1" si="13"/>
        <v>45959</v>
      </c>
      <c r="D388" s="81">
        <f>IF(Data!I388&lt;&gt;"",DATEDIF(Data!I388,C388,"m"),0)</f>
        <v>0</v>
      </c>
      <c r="E388" s="82">
        <f t="shared" si="14"/>
        <v>0</v>
      </c>
      <c r="I388" s="81" t="str">
        <f>CONCATENATE(Data!M388,"-",Data!L388)</f>
        <v>ML-CH</v>
      </c>
      <c r="N388" s="81">
        <f>IF(Data!P388,DATEDIF(Data!O388,Data!P388,"d"),0)</f>
        <v>14</v>
      </c>
      <c r="O388" s="81">
        <f>IF(Data!M388="CD",1,0)</f>
        <v>0</v>
      </c>
      <c r="P388" s="81">
        <f>IF(Data!M388="CD",0,1)</f>
        <v>1</v>
      </c>
      <c r="Q388" s="81">
        <f>IF(Data!Q388&gt;Data!P388,DATEDIF(Data!P388,Data!Q388,"d"),0)</f>
        <v>3</v>
      </c>
      <c r="R388" s="81">
        <f>IF(Data!R388&gt;Data!Q388,DATEDIF(Data!Q388,Data!R388,"d"),0)</f>
        <v>9</v>
      </c>
      <c r="X388"/>
      <c r="Y388"/>
      <c r="Z388"/>
    </row>
    <row r="389" spans="2:26" ht="16" x14ac:dyDescent="0.2">
      <c r="B389" s="45"/>
      <c r="C389" s="80">
        <f t="shared" ca="1" si="13"/>
        <v>45959</v>
      </c>
      <c r="D389" s="81">
        <f ca="1">IF(Data!I389&lt;&gt;"",DATEDIF(Data!I389,C389,"m"),0)</f>
        <v>91</v>
      </c>
      <c r="E389" s="82">
        <f t="shared" ca="1" si="14"/>
        <v>7.583333333333333</v>
      </c>
      <c r="I389" s="81" t="str">
        <f>CONCATENATE(Data!M389,"-",Data!L389)</f>
        <v>CD-VA</v>
      </c>
      <c r="N389" s="81">
        <f>IF(Data!P389,DATEDIF(Data!O389,Data!P389,"d"),0)</f>
        <v>3</v>
      </c>
      <c r="O389" s="81">
        <f>IF(Data!M389="CD",1,0)</f>
        <v>1</v>
      </c>
      <c r="P389" s="81">
        <f>IF(Data!M389="CD",0,1)</f>
        <v>0</v>
      </c>
      <c r="Q389" s="81">
        <f>IF(Data!Q389&gt;Data!P389,DATEDIF(Data!P389,Data!Q389,"d"),0)</f>
        <v>2</v>
      </c>
      <c r="R389" s="81">
        <f>IF(Data!R389&gt;Data!Q389,DATEDIF(Data!Q389,Data!R389,"d"),0)</f>
        <v>19</v>
      </c>
      <c r="X389"/>
      <c r="Y389"/>
      <c r="Z389"/>
    </row>
    <row r="390" spans="2:26" ht="16" x14ac:dyDescent="0.2">
      <c r="B390" s="45"/>
      <c r="C390" s="80">
        <f t="shared" ca="1" si="13"/>
        <v>45959</v>
      </c>
      <c r="D390" s="81">
        <f ca="1">IF(Data!I390&lt;&gt;"",DATEDIF(Data!I390,C390,"m"),0)</f>
        <v>16</v>
      </c>
      <c r="E390" s="82">
        <f t="shared" ca="1" si="14"/>
        <v>1.3333333333333333</v>
      </c>
      <c r="I390" s="81" t="str">
        <f>CONCATENATE(Data!M390,"-",Data!L390)</f>
        <v>CI-BA</v>
      </c>
      <c r="N390" s="81">
        <f>IF(Data!P390,DATEDIF(Data!O390,Data!P390,"d"),0)</f>
        <v>276</v>
      </c>
      <c r="O390" s="81">
        <f>IF(Data!M390="CD",1,0)</f>
        <v>0</v>
      </c>
      <c r="P390" s="81">
        <f>IF(Data!M390="CD",0,1)</f>
        <v>1</v>
      </c>
      <c r="Q390" s="81">
        <f>IF(Data!Q390&gt;Data!P390,DATEDIF(Data!P390,Data!Q390,"d"),0)</f>
        <v>0</v>
      </c>
      <c r="R390" s="81">
        <f>IF(Data!R390&gt;Data!Q390,DATEDIF(Data!Q390,Data!R390,"d"),0)</f>
        <v>19</v>
      </c>
      <c r="X390"/>
      <c r="Y390"/>
      <c r="Z390"/>
    </row>
    <row r="391" spans="2:26" ht="16" x14ac:dyDescent="0.2">
      <c r="B391" s="45"/>
      <c r="C391" s="80">
        <f t="shared" ca="1" si="13"/>
        <v>45959</v>
      </c>
      <c r="D391" s="81">
        <f ca="1">IF(Data!I391&lt;&gt;"",DATEDIF(Data!I391,C391,"m"),0)</f>
        <v>67</v>
      </c>
      <c r="E391" s="82">
        <f t="shared" ca="1" si="14"/>
        <v>5.583333333333333</v>
      </c>
      <c r="I391" s="81" t="str">
        <f>CONCATENATE(Data!M391,"-",Data!L391)</f>
        <v>CD-BA</v>
      </c>
      <c r="N391" s="81">
        <f>IF(Data!P391,DATEDIF(Data!O391,Data!P391,"d"),0)</f>
        <v>197</v>
      </c>
      <c r="O391" s="81">
        <f>IF(Data!M391="CD",1,0)</f>
        <v>1</v>
      </c>
      <c r="P391" s="81">
        <f>IF(Data!M391="CD",0,1)</f>
        <v>0</v>
      </c>
      <c r="Q391" s="81">
        <f>IF(Data!Q391&gt;Data!P391,DATEDIF(Data!P391,Data!Q391,"d"),0)</f>
        <v>0</v>
      </c>
      <c r="R391" s="81">
        <f>IF(Data!R391&gt;Data!Q391,DATEDIF(Data!Q391,Data!R391,"d"),0)</f>
        <v>12</v>
      </c>
      <c r="X391"/>
      <c r="Y391"/>
      <c r="Z391"/>
    </row>
    <row r="392" spans="2:26" ht="16" x14ac:dyDescent="0.2">
      <c r="B392" s="45"/>
      <c r="C392" s="80">
        <f t="shared" ca="1" si="13"/>
        <v>45959</v>
      </c>
      <c r="D392" s="81">
        <f>IF(Data!I392&lt;&gt;"",DATEDIF(Data!I392,C392,"m"),0)</f>
        <v>0</v>
      </c>
      <c r="E392" s="82">
        <f t="shared" si="14"/>
        <v>0</v>
      </c>
      <c r="I392" s="81" t="str">
        <f>CONCATENATE(Data!M392,"-",Data!L392)</f>
        <v>CD-BA</v>
      </c>
      <c r="N392" s="81">
        <f>IF(Data!P392,DATEDIF(Data!O392,Data!P392,"d"),0)</f>
        <v>0</v>
      </c>
      <c r="O392" s="81">
        <f>IF(Data!M392="CD",1,0)</f>
        <v>1</v>
      </c>
      <c r="P392" s="81">
        <f>IF(Data!M392="CD",0,1)</f>
        <v>0</v>
      </c>
      <c r="Q392" s="81">
        <f>IF(Data!Q392&gt;Data!P392,DATEDIF(Data!P392,Data!Q392,"d"),0)</f>
        <v>0</v>
      </c>
      <c r="R392" s="81">
        <f>IF(Data!R392&gt;Data!Q392,DATEDIF(Data!Q392,Data!R392,"d"),0)</f>
        <v>0</v>
      </c>
      <c r="X392"/>
      <c r="Y392"/>
      <c r="Z392"/>
    </row>
    <row r="393" spans="2:26" ht="16" x14ac:dyDescent="0.2">
      <c r="B393" s="45"/>
      <c r="C393" s="80">
        <f t="shared" ca="1" si="13"/>
        <v>45959</v>
      </c>
      <c r="D393" s="81">
        <f ca="1">IF(Data!I393&lt;&gt;"",DATEDIF(Data!I393,C393,"m"),0)</f>
        <v>32</v>
      </c>
      <c r="E393" s="82">
        <f t="shared" ca="1" si="14"/>
        <v>2.6666666666666665</v>
      </c>
      <c r="I393" s="81" t="str">
        <f>CONCATENATE(Data!M393,"-",Data!L393)</f>
        <v>CD-GE</v>
      </c>
      <c r="N393" s="81">
        <f>IF(Data!P393,DATEDIF(Data!O393,Data!P393,"d"),0)</f>
        <v>2</v>
      </c>
      <c r="O393" s="81">
        <f>IF(Data!M393="CD",1,0)</f>
        <v>1</v>
      </c>
      <c r="P393" s="81">
        <f>IF(Data!M393="CD",0,1)</f>
        <v>0</v>
      </c>
      <c r="Q393" s="81">
        <f>IF(Data!Q393&gt;Data!P393,DATEDIF(Data!P393,Data!Q393,"d"),0)</f>
        <v>3</v>
      </c>
      <c r="R393" s="81">
        <f>IF(Data!R393&gt;Data!Q393,DATEDIF(Data!Q393,Data!R393,"d"),0)</f>
        <v>11</v>
      </c>
      <c r="X393"/>
      <c r="Y393"/>
      <c r="Z393"/>
    </row>
    <row r="394" spans="2:26" ht="16" x14ac:dyDescent="0.2">
      <c r="B394" s="45"/>
      <c r="C394" s="80">
        <f t="shared" ca="1" si="13"/>
        <v>45959</v>
      </c>
      <c r="D394" s="81">
        <f ca="1">IF(Data!I394&lt;&gt;"",DATEDIF(Data!I394,C394,"m"),0)</f>
        <v>31</v>
      </c>
      <c r="E394" s="82">
        <f t="shared" ca="1" si="14"/>
        <v>2.5833333333333335</v>
      </c>
      <c r="I394" s="81" t="str">
        <f>CONCATENATE(Data!M394,"-",Data!L394)</f>
        <v>CD-VA</v>
      </c>
      <c r="N394" s="81">
        <f>IF(Data!P394,DATEDIF(Data!O394,Data!P394,"d"),0)</f>
        <v>0</v>
      </c>
      <c r="O394" s="81">
        <f>IF(Data!M394="CD",1,0)</f>
        <v>1</v>
      </c>
      <c r="P394" s="81">
        <f>IF(Data!M394="CD",0,1)</f>
        <v>0</v>
      </c>
      <c r="Q394" s="81">
        <f>IF(Data!Q394&gt;Data!P394,DATEDIF(Data!P394,Data!Q394,"d"),0)</f>
        <v>7</v>
      </c>
      <c r="R394" s="81">
        <f>IF(Data!R394&gt;Data!Q394,DATEDIF(Data!Q394,Data!R394,"d"),0)</f>
        <v>22</v>
      </c>
      <c r="X394"/>
      <c r="Y394"/>
      <c r="Z394"/>
    </row>
    <row r="395" spans="2:26" ht="16" x14ac:dyDescent="0.2">
      <c r="B395" s="45"/>
      <c r="C395" s="80">
        <f t="shared" ca="1" si="13"/>
        <v>45959</v>
      </c>
      <c r="D395" s="81">
        <f ca="1">IF(Data!I395&lt;&gt;"",DATEDIF(Data!I395,C395,"m"),0)</f>
        <v>11</v>
      </c>
      <c r="E395" s="82">
        <f t="shared" ca="1" si="14"/>
        <v>0.91666666666666663</v>
      </c>
      <c r="I395" s="81" t="str">
        <f>CONCATENATE(Data!M395,"-",Data!L395)</f>
        <v>CD-GE</v>
      </c>
      <c r="N395" s="81">
        <f>IF(Data!P395,DATEDIF(Data!O395,Data!P395,"d"),0)</f>
        <v>2</v>
      </c>
      <c r="O395" s="81">
        <f>IF(Data!M395="CD",1,0)</f>
        <v>1</v>
      </c>
      <c r="P395" s="81">
        <f>IF(Data!M395="CD",0,1)</f>
        <v>0</v>
      </c>
      <c r="Q395" s="81">
        <f>IF(Data!Q395&gt;Data!P395,DATEDIF(Data!P395,Data!Q395,"d"),0)</f>
        <v>3</v>
      </c>
      <c r="R395" s="81">
        <f>IF(Data!R395&gt;Data!Q395,DATEDIF(Data!Q395,Data!R395,"d"),0)</f>
        <v>11</v>
      </c>
      <c r="X395"/>
      <c r="Y395"/>
      <c r="Z395"/>
    </row>
    <row r="396" spans="2:26" ht="16" x14ac:dyDescent="0.2">
      <c r="B396" s="45"/>
      <c r="C396" s="80">
        <f t="shared" ca="1" si="13"/>
        <v>45959</v>
      </c>
      <c r="D396" s="81">
        <f ca="1">IF(Data!I396&lt;&gt;"",DATEDIF(Data!I396,C396,"m"),0)</f>
        <v>59</v>
      </c>
      <c r="E396" s="82">
        <f t="shared" ca="1" si="14"/>
        <v>4.916666666666667</v>
      </c>
      <c r="I396" s="81" t="str">
        <f>CONCATENATE(Data!M396,"-",Data!L396)</f>
        <v>CD-CH</v>
      </c>
      <c r="N396" s="81">
        <f>IF(Data!P396,DATEDIF(Data!O396,Data!P396,"d"),0)</f>
        <v>0</v>
      </c>
      <c r="O396" s="81">
        <f>IF(Data!M396="CD",1,0)</f>
        <v>1</v>
      </c>
      <c r="P396" s="81">
        <f>IF(Data!M396="CD",0,1)</f>
        <v>0</v>
      </c>
      <c r="Q396" s="81">
        <f>IF(Data!Q396&gt;Data!P396,DATEDIF(Data!P396,Data!Q396,"d"),0)</f>
        <v>1</v>
      </c>
      <c r="R396" s="81">
        <f>IF(Data!R396&gt;Data!Q396,DATEDIF(Data!Q396,Data!R396,"d"),0)</f>
        <v>7</v>
      </c>
      <c r="X396"/>
      <c r="Y396"/>
      <c r="Z396"/>
    </row>
    <row r="397" spans="2:26" ht="16" x14ac:dyDescent="0.2">
      <c r="B397" s="45"/>
      <c r="C397" s="80">
        <f t="shared" ca="1" si="13"/>
        <v>45959</v>
      </c>
      <c r="D397" s="81">
        <f ca="1">IF(Data!I397&lt;&gt;"",DATEDIF(Data!I397,C397,"m"),0)</f>
        <v>135</v>
      </c>
      <c r="E397" s="82">
        <f t="shared" ca="1" si="14"/>
        <v>11.25</v>
      </c>
      <c r="I397" s="81" t="str">
        <f>CONCATENATE(Data!M397,"-",Data!L397)</f>
        <v>CD-VA</v>
      </c>
      <c r="N397" s="81">
        <f>IF(Data!P397,DATEDIF(Data!O397,Data!P397,"d"),0)</f>
        <v>2</v>
      </c>
      <c r="O397" s="81">
        <f>IF(Data!M397="CD",1,0)</f>
        <v>1</v>
      </c>
      <c r="P397" s="81">
        <f>IF(Data!M397="CD",0,1)</f>
        <v>0</v>
      </c>
      <c r="Q397" s="81">
        <f>IF(Data!Q397&gt;Data!P397,DATEDIF(Data!P397,Data!Q397,"d"),0)</f>
        <v>19</v>
      </c>
      <c r="R397" s="81">
        <f>IF(Data!R397&gt;Data!Q397,DATEDIF(Data!Q397,Data!R397,"d"),0)</f>
        <v>14</v>
      </c>
      <c r="X397"/>
      <c r="Y397"/>
      <c r="Z397"/>
    </row>
    <row r="398" spans="2:26" ht="16" x14ac:dyDescent="0.2">
      <c r="B398" s="45"/>
      <c r="C398" s="80">
        <f t="shared" ca="1" si="13"/>
        <v>45959</v>
      </c>
      <c r="D398" s="81">
        <f ca="1">IF(Data!I398&lt;&gt;"",DATEDIF(Data!I398,C398,"m"),0)</f>
        <v>75</v>
      </c>
      <c r="E398" s="82">
        <f t="shared" ca="1" si="14"/>
        <v>6.25</v>
      </c>
      <c r="I398" s="81" t="str">
        <f>CONCATENATE(Data!M398,"-",Data!L398)</f>
        <v>CD-VA</v>
      </c>
      <c r="N398" s="81">
        <f>IF(Data!P398,DATEDIF(Data!O398,Data!P398,"d"),0)</f>
        <v>2</v>
      </c>
      <c r="O398" s="81">
        <f>IF(Data!M398="CD",1,0)</f>
        <v>1</v>
      </c>
      <c r="P398" s="81">
        <f>IF(Data!M398="CD",0,1)</f>
        <v>0</v>
      </c>
      <c r="Q398" s="81">
        <f>IF(Data!Q398&gt;Data!P398,DATEDIF(Data!P398,Data!Q398,"d"),0)</f>
        <v>9</v>
      </c>
      <c r="R398" s="81">
        <f>IF(Data!R398&gt;Data!Q398,DATEDIF(Data!Q398,Data!R398,"d"),0)</f>
        <v>27</v>
      </c>
      <c r="X398"/>
      <c r="Y398"/>
      <c r="Z398"/>
    </row>
    <row r="399" spans="2:26" ht="16" x14ac:dyDescent="0.2">
      <c r="B399" s="45"/>
      <c r="C399" s="80">
        <f t="shared" ca="1" si="13"/>
        <v>45959</v>
      </c>
      <c r="D399" s="81">
        <f ca="1">IF(Data!I399&lt;&gt;"",DATEDIF(Data!I399,C399,"m"),0)</f>
        <v>10</v>
      </c>
      <c r="E399" s="82">
        <f t="shared" ca="1" si="14"/>
        <v>0.83333333333333337</v>
      </c>
      <c r="I399" s="81" t="str">
        <f>CONCATENATE(Data!M399,"-",Data!L399)</f>
        <v>CD-GE</v>
      </c>
      <c r="N399" s="81">
        <f>IF(Data!P399,DATEDIF(Data!O399,Data!P399,"d"),0)</f>
        <v>1</v>
      </c>
      <c r="O399" s="81">
        <f>IF(Data!M399="CD",1,0)</f>
        <v>1</v>
      </c>
      <c r="P399" s="81">
        <f>IF(Data!M399="CD",0,1)</f>
        <v>0</v>
      </c>
      <c r="Q399" s="81">
        <f>IF(Data!Q399&gt;Data!P399,DATEDIF(Data!P399,Data!Q399,"d"),0)</f>
        <v>6</v>
      </c>
      <c r="R399" s="81">
        <f>IF(Data!R399&gt;Data!Q399,DATEDIF(Data!Q399,Data!R399,"d"),0)</f>
        <v>7</v>
      </c>
      <c r="X399"/>
      <c r="Y399"/>
      <c r="Z399"/>
    </row>
    <row r="400" spans="2:26" ht="16" x14ac:dyDescent="0.2">
      <c r="B400" s="45"/>
      <c r="C400" s="80">
        <f t="shared" ca="1" si="13"/>
        <v>45959</v>
      </c>
      <c r="D400" s="81">
        <f>IF(Data!I400&lt;&gt;"",DATEDIF(Data!I400,C400,"m"),0)</f>
        <v>0</v>
      </c>
      <c r="E400" s="82">
        <f t="shared" si="14"/>
        <v>0</v>
      </c>
      <c r="I400" s="81" t="str">
        <f>CONCATENATE(Data!M400,"-",Data!L400)</f>
        <v>CI-GE</v>
      </c>
      <c r="N400" s="81">
        <f>IF(Data!P400,DATEDIF(Data!O400,Data!P400,"d"),0)</f>
        <v>1</v>
      </c>
      <c r="O400" s="81">
        <f>IF(Data!M400="CD",1,0)</f>
        <v>0</v>
      </c>
      <c r="P400" s="81">
        <f>IF(Data!M400="CD",0,1)</f>
        <v>1</v>
      </c>
      <c r="Q400" s="81">
        <f>IF(Data!Q400&gt;Data!P400,DATEDIF(Data!P400,Data!Q400,"d"),0)</f>
        <v>6</v>
      </c>
      <c r="R400" s="81">
        <f>IF(Data!R400&gt;Data!Q400,DATEDIF(Data!Q400,Data!R400,"d"),0)</f>
        <v>11</v>
      </c>
      <c r="X400"/>
      <c r="Y400"/>
      <c r="Z400"/>
    </row>
    <row r="401" spans="2:26" ht="16" x14ac:dyDescent="0.2">
      <c r="B401" s="45"/>
      <c r="C401" s="80">
        <f t="shared" ca="1" si="13"/>
        <v>45959</v>
      </c>
      <c r="D401" s="81">
        <f ca="1">IF(Data!I401&lt;&gt;"",DATEDIF(Data!I401,C401,"m"),0)</f>
        <v>29</v>
      </c>
      <c r="E401" s="82">
        <f t="shared" ca="1" si="14"/>
        <v>2.4166666666666665</v>
      </c>
      <c r="I401" s="81" t="str">
        <f>CONCATENATE(Data!M401,"-",Data!L401)</f>
        <v>CD-CH</v>
      </c>
      <c r="N401" s="81">
        <f>IF(Data!P401,DATEDIF(Data!O401,Data!P401,"d"),0)</f>
        <v>0</v>
      </c>
      <c r="O401" s="81">
        <f>IF(Data!M401="CD",1,0)</f>
        <v>1</v>
      </c>
      <c r="P401" s="81">
        <f>IF(Data!M401="CD",0,1)</f>
        <v>0</v>
      </c>
      <c r="Q401" s="81">
        <f>IF(Data!Q401&gt;Data!P401,DATEDIF(Data!P401,Data!Q401,"d"),0)</f>
        <v>2</v>
      </c>
      <c r="R401" s="81">
        <f>IF(Data!R401&gt;Data!Q401,DATEDIF(Data!Q401,Data!R401,"d"),0)</f>
        <v>21</v>
      </c>
      <c r="X401"/>
      <c r="Y401"/>
      <c r="Z401"/>
    </row>
    <row r="402" spans="2:26" ht="16" x14ac:dyDescent="0.2">
      <c r="B402" s="45"/>
      <c r="C402" s="80">
        <f t="shared" ca="1" si="13"/>
        <v>45959</v>
      </c>
      <c r="D402" s="81">
        <f ca="1">IF(Data!I402&lt;&gt;"",DATEDIF(Data!I402,C402,"m"),0)</f>
        <v>196</v>
      </c>
      <c r="E402" s="82">
        <f t="shared" ca="1" si="14"/>
        <v>16.333333333333332</v>
      </c>
      <c r="I402" s="81" t="str">
        <f>CONCATENATE(Data!M402,"-",Data!L402)</f>
        <v>CD-VA</v>
      </c>
      <c r="N402" s="81">
        <f>IF(Data!P402,DATEDIF(Data!O402,Data!P402,"d"),0)</f>
        <v>6</v>
      </c>
      <c r="O402" s="81">
        <f>IF(Data!M402="CD",1,0)</f>
        <v>1</v>
      </c>
      <c r="P402" s="81">
        <f>IF(Data!M402="CD",0,1)</f>
        <v>0</v>
      </c>
      <c r="Q402" s="81">
        <f>IF(Data!Q402&gt;Data!P402,DATEDIF(Data!P402,Data!Q402,"d"),0)</f>
        <v>8</v>
      </c>
      <c r="R402" s="81">
        <f>IF(Data!R402&gt;Data!Q402,DATEDIF(Data!Q402,Data!R402,"d"),0)</f>
        <v>28</v>
      </c>
      <c r="X402"/>
      <c r="Y402"/>
      <c r="Z402"/>
    </row>
    <row r="403" spans="2:26" ht="16" x14ac:dyDescent="0.2">
      <c r="B403" s="45"/>
      <c r="C403" s="80">
        <f t="shared" ca="1" si="13"/>
        <v>45959</v>
      </c>
      <c r="D403" s="81">
        <f>IF(Data!I403&lt;&gt;"",DATEDIF(Data!I403,C403,"m"),0)</f>
        <v>0</v>
      </c>
      <c r="E403" s="82">
        <f t="shared" si="14"/>
        <v>0</v>
      </c>
      <c r="I403" s="81" t="str">
        <f>CONCATENATE(Data!M403,"-",Data!L403)</f>
        <v>ML-CH</v>
      </c>
      <c r="N403" s="81">
        <f>IF(Data!P403,DATEDIF(Data!O403,Data!P403,"d"),0)</f>
        <v>139</v>
      </c>
      <c r="O403" s="81">
        <f>IF(Data!M403="CD",1,0)</f>
        <v>0</v>
      </c>
      <c r="P403" s="81">
        <f>IF(Data!M403="CD",0,1)</f>
        <v>1</v>
      </c>
      <c r="Q403" s="81">
        <f>IF(Data!Q403&gt;Data!P403,DATEDIF(Data!P403,Data!Q403,"d"),0)</f>
        <v>0</v>
      </c>
      <c r="R403" s="81">
        <f>IF(Data!R403&gt;Data!Q403,DATEDIF(Data!Q403,Data!R403,"d"),0)</f>
        <v>8</v>
      </c>
      <c r="X403"/>
      <c r="Y403"/>
      <c r="Z403"/>
    </row>
    <row r="404" spans="2:26" ht="16" x14ac:dyDescent="0.2">
      <c r="B404" s="45"/>
      <c r="C404" s="80">
        <f t="shared" ca="1" si="13"/>
        <v>45959</v>
      </c>
      <c r="D404" s="81">
        <f ca="1">IF(Data!I404&lt;&gt;"",DATEDIF(Data!I404,C404,"m"),0)</f>
        <v>48</v>
      </c>
      <c r="E404" s="82">
        <f t="shared" ca="1" si="14"/>
        <v>4</v>
      </c>
      <c r="I404" s="81" t="str">
        <f>CONCATENATE(Data!M404,"-",Data!L404)</f>
        <v>CD-VA</v>
      </c>
      <c r="N404" s="81">
        <f>IF(Data!P404,DATEDIF(Data!O404,Data!P404,"d"),0)</f>
        <v>8</v>
      </c>
      <c r="O404" s="81">
        <f>IF(Data!M404="CD",1,0)</f>
        <v>1</v>
      </c>
      <c r="P404" s="81">
        <f>IF(Data!M404="CD",0,1)</f>
        <v>0</v>
      </c>
      <c r="Q404" s="81">
        <f>IF(Data!Q404&gt;Data!P404,DATEDIF(Data!P404,Data!Q404,"d"),0)</f>
        <v>6</v>
      </c>
      <c r="R404" s="81">
        <f>IF(Data!R404&gt;Data!Q404,DATEDIF(Data!Q404,Data!R404,"d"),0)</f>
        <v>28</v>
      </c>
      <c r="X404"/>
      <c r="Y404"/>
      <c r="Z404"/>
    </row>
    <row r="405" spans="2:26" ht="16" x14ac:dyDescent="0.2">
      <c r="B405" s="45"/>
      <c r="C405" s="80">
        <f t="shared" ca="1" si="13"/>
        <v>45959</v>
      </c>
      <c r="D405" s="81">
        <f>IF(Data!I405&lt;&gt;"",DATEDIF(Data!I405,C405,"m"),0)</f>
        <v>0</v>
      </c>
      <c r="E405" s="82">
        <f t="shared" si="14"/>
        <v>0</v>
      </c>
      <c r="I405" s="81" t="str">
        <f>CONCATENATE(Data!M405,"-",Data!L405)</f>
        <v>CD-BA</v>
      </c>
      <c r="N405" s="81">
        <f>IF(Data!P405,DATEDIF(Data!O405,Data!P405,"d"),0)</f>
        <v>0</v>
      </c>
      <c r="O405" s="81">
        <f>IF(Data!M405="CD",1,0)</f>
        <v>1</v>
      </c>
      <c r="P405" s="81">
        <f>IF(Data!M405="CD",0,1)</f>
        <v>0</v>
      </c>
      <c r="Q405" s="81">
        <f>IF(Data!Q405&gt;Data!P405,DATEDIF(Data!P405,Data!Q405,"d"),0)</f>
        <v>4</v>
      </c>
      <c r="R405" s="81">
        <f>IF(Data!R405&gt;Data!Q405,DATEDIF(Data!Q405,Data!R405,"d"),0)</f>
        <v>7</v>
      </c>
      <c r="X405"/>
      <c r="Y405"/>
      <c r="Z405"/>
    </row>
    <row r="406" spans="2:26" ht="16" x14ac:dyDescent="0.2">
      <c r="B406" s="45"/>
      <c r="C406" s="80">
        <f t="shared" ca="1" si="13"/>
        <v>45959</v>
      </c>
      <c r="D406" s="81">
        <f ca="1">IF(Data!I406&lt;&gt;"",DATEDIF(Data!I406,C406,"m"),0)</f>
        <v>146</v>
      </c>
      <c r="E406" s="82">
        <f t="shared" ca="1" si="14"/>
        <v>12.166666666666666</v>
      </c>
      <c r="I406" s="81" t="str">
        <f>CONCATENATE(Data!M406,"-",Data!L406)</f>
        <v>CD-GE</v>
      </c>
      <c r="N406" s="81">
        <f>IF(Data!P406,DATEDIF(Data!O406,Data!P406,"d"),0)</f>
        <v>2</v>
      </c>
      <c r="O406" s="81">
        <f>IF(Data!M406="CD",1,0)</f>
        <v>1</v>
      </c>
      <c r="P406" s="81">
        <f>IF(Data!M406="CD",0,1)</f>
        <v>0</v>
      </c>
      <c r="Q406" s="81">
        <f>IF(Data!Q406&gt;Data!P406,DATEDIF(Data!P406,Data!Q406,"d"),0)</f>
        <v>10</v>
      </c>
      <c r="R406" s="81">
        <f>IF(Data!R406&gt;Data!Q406,DATEDIF(Data!Q406,Data!R406,"d"),0)</f>
        <v>15</v>
      </c>
      <c r="X406"/>
      <c r="Y406"/>
      <c r="Z406"/>
    </row>
    <row r="407" spans="2:26" ht="16" x14ac:dyDescent="0.2">
      <c r="B407" s="45"/>
      <c r="C407" s="80">
        <f t="shared" ca="1" si="13"/>
        <v>45959</v>
      </c>
      <c r="D407" s="81">
        <f ca="1">IF(Data!I407&lt;&gt;"",DATEDIF(Data!I407,C407,"m"),0)</f>
        <v>91</v>
      </c>
      <c r="E407" s="82">
        <f t="shared" ca="1" si="14"/>
        <v>7.583333333333333</v>
      </c>
      <c r="I407" s="81" t="str">
        <f>CONCATENATE(Data!M407,"-",Data!L407)</f>
        <v>CD-VA</v>
      </c>
      <c r="N407" s="81">
        <f>IF(Data!P407,DATEDIF(Data!O407,Data!P407,"d"),0)</f>
        <v>1</v>
      </c>
      <c r="O407" s="81">
        <f>IF(Data!M407="CD",1,0)</f>
        <v>1</v>
      </c>
      <c r="P407" s="81">
        <f>IF(Data!M407="CD",0,1)</f>
        <v>0</v>
      </c>
      <c r="Q407" s="81">
        <f>IF(Data!Q407&gt;Data!P407,DATEDIF(Data!P407,Data!Q407,"d"),0)</f>
        <v>11</v>
      </c>
      <c r="R407" s="81">
        <f>IF(Data!R407&gt;Data!Q407,DATEDIF(Data!Q407,Data!R407,"d"),0)</f>
        <v>21</v>
      </c>
      <c r="X407"/>
      <c r="Y407"/>
      <c r="Z407"/>
    </row>
    <row r="408" spans="2:26" ht="16" x14ac:dyDescent="0.2">
      <c r="B408" s="45"/>
      <c r="C408" s="80">
        <f t="shared" ca="1" si="13"/>
        <v>45959</v>
      </c>
      <c r="D408" s="81">
        <f>IF(Data!I408&lt;&gt;"",DATEDIF(Data!I408,C408,"m"),0)</f>
        <v>0</v>
      </c>
      <c r="E408" s="82">
        <f t="shared" si="14"/>
        <v>0</v>
      </c>
      <c r="I408" s="81" t="str">
        <f>CONCATENATE(Data!M408,"-",Data!L408)</f>
        <v>ML-GE</v>
      </c>
      <c r="N408" s="81">
        <f>IF(Data!P408,DATEDIF(Data!O408,Data!P408,"d"),0)</f>
        <v>2</v>
      </c>
      <c r="O408" s="81">
        <f>IF(Data!M408="CD",1,0)</f>
        <v>0</v>
      </c>
      <c r="P408" s="81">
        <f>IF(Data!M408="CD",0,1)</f>
        <v>1</v>
      </c>
      <c r="Q408" s="81">
        <f>IF(Data!Q408&gt;Data!P408,DATEDIF(Data!P408,Data!Q408,"d"),0)</f>
        <v>10</v>
      </c>
      <c r="R408" s="81">
        <f>IF(Data!R408&gt;Data!Q408,DATEDIF(Data!Q408,Data!R408,"d"),0)</f>
        <v>21</v>
      </c>
      <c r="X408"/>
      <c r="Y408"/>
      <c r="Z408"/>
    </row>
    <row r="409" spans="2:26" ht="16" x14ac:dyDescent="0.2">
      <c r="B409" s="45"/>
      <c r="C409" s="80">
        <f t="shared" ca="1" si="13"/>
        <v>45959</v>
      </c>
      <c r="D409" s="81">
        <f ca="1">IF(Data!I409&lt;&gt;"",DATEDIF(Data!I409,C409,"m"),0)</f>
        <v>57</v>
      </c>
      <c r="E409" s="82">
        <f t="shared" ca="1" si="14"/>
        <v>4.75</v>
      </c>
      <c r="I409" s="81" t="str">
        <f>CONCATENATE(Data!M409,"-",Data!L409)</f>
        <v>CD-VA</v>
      </c>
      <c r="N409" s="81">
        <f>IF(Data!P409,DATEDIF(Data!O409,Data!P409,"d"),0)</f>
        <v>1</v>
      </c>
      <c r="O409" s="81">
        <f>IF(Data!M409="CD",1,0)</f>
        <v>1</v>
      </c>
      <c r="P409" s="81">
        <f>IF(Data!M409="CD",0,1)</f>
        <v>0</v>
      </c>
      <c r="Q409" s="81">
        <f>IF(Data!Q409&gt;Data!P409,DATEDIF(Data!P409,Data!Q409,"d"),0)</f>
        <v>6</v>
      </c>
      <c r="R409" s="81">
        <f>IF(Data!R409&gt;Data!Q409,DATEDIF(Data!Q409,Data!R409,"d"),0)</f>
        <v>13</v>
      </c>
      <c r="X409"/>
      <c r="Y409"/>
      <c r="Z409"/>
    </row>
    <row r="410" spans="2:26" ht="16" x14ac:dyDescent="0.2">
      <c r="B410" s="45"/>
      <c r="C410" s="80">
        <f t="shared" ca="1" si="13"/>
        <v>45959</v>
      </c>
      <c r="D410" s="81">
        <f ca="1">IF(Data!I410&lt;&gt;"",DATEDIF(Data!I410,C410,"m"),0)</f>
        <v>196</v>
      </c>
      <c r="E410" s="82">
        <f t="shared" ca="1" si="14"/>
        <v>16.333333333333332</v>
      </c>
      <c r="I410" s="81" t="str">
        <f>CONCATENATE(Data!M410,"-",Data!L410)</f>
        <v>CD-GE</v>
      </c>
      <c r="N410" s="81">
        <f>IF(Data!P410,DATEDIF(Data!O410,Data!P410,"d"),0)</f>
        <v>2</v>
      </c>
      <c r="O410" s="81">
        <f>IF(Data!M410="CD",1,0)</f>
        <v>1</v>
      </c>
      <c r="P410" s="81">
        <f>IF(Data!M410="CD",0,1)</f>
        <v>0</v>
      </c>
      <c r="Q410" s="81">
        <f>IF(Data!Q410&gt;Data!P410,DATEDIF(Data!P410,Data!Q410,"d"),0)</f>
        <v>10</v>
      </c>
      <c r="R410" s="81">
        <f>IF(Data!R410&gt;Data!Q410,DATEDIF(Data!Q410,Data!R410,"d"),0)</f>
        <v>15</v>
      </c>
      <c r="X410"/>
      <c r="Y410"/>
      <c r="Z410"/>
    </row>
    <row r="411" spans="2:26" ht="16" x14ac:dyDescent="0.2">
      <c r="B411" s="45"/>
      <c r="C411" s="80">
        <f t="shared" ca="1" si="13"/>
        <v>45959</v>
      </c>
      <c r="D411" s="81">
        <f>IF(Data!I411&lt;&gt;"",DATEDIF(Data!I411,C411,"m"),0)</f>
        <v>0</v>
      </c>
      <c r="E411" s="82">
        <f t="shared" si="14"/>
        <v>0</v>
      </c>
      <c r="I411" s="81" t="str">
        <f>CONCATENATE(Data!M411,"-",Data!L411)</f>
        <v>CD-BA</v>
      </c>
      <c r="N411" s="81">
        <f>IF(Data!P411,DATEDIF(Data!O411,Data!P411,"d"),0)</f>
        <v>2</v>
      </c>
      <c r="O411" s="81">
        <f>IF(Data!M411="CD",1,0)</f>
        <v>1</v>
      </c>
      <c r="P411" s="81">
        <f>IF(Data!M411="CD",0,1)</f>
        <v>0</v>
      </c>
      <c r="Q411" s="81">
        <f>IF(Data!Q411&gt;Data!P411,DATEDIF(Data!P411,Data!Q411,"d"),0)</f>
        <v>26</v>
      </c>
      <c r="R411" s="81">
        <f>IF(Data!R411&gt;Data!Q411,DATEDIF(Data!Q411,Data!R411,"d"),0)</f>
        <v>23</v>
      </c>
      <c r="X411"/>
      <c r="Y411"/>
      <c r="Z411"/>
    </row>
    <row r="412" spans="2:26" ht="16" x14ac:dyDescent="0.2">
      <c r="B412" s="45"/>
      <c r="C412" s="80">
        <f t="shared" ca="1" si="13"/>
        <v>45959</v>
      </c>
      <c r="D412" s="81">
        <f>IF(Data!I412&lt;&gt;"",DATEDIF(Data!I412,C412,"m"),0)</f>
        <v>0</v>
      </c>
      <c r="E412" s="82">
        <f t="shared" si="14"/>
        <v>0</v>
      </c>
      <c r="I412" s="81" t="str">
        <f>CONCATENATE(Data!M412,"-",Data!L412)</f>
        <v>CD-GE</v>
      </c>
      <c r="N412" s="81">
        <f>IF(Data!P412,DATEDIF(Data!O412,Data!P412,"d"),0)</f>
        <v>3</v>
      </c>
      <c r="O412" s="81">
        <f>IF(Data!M412="CD",1,0)</f>
        <v>1</v>
      </c>
      <c r="P412" s="81">
        <f>IF(Data!M412="CD",0,1)</f>
        <v>0</v>
      </c>
      <c r="Q412" s="81">
        <f>IF(Data!Q412&gt;Data!P412,DATEDIF(Data!P412,Data!Q412,"d"),0)</f>
        <v>10</v>
      </c>
      <c r="R412" s="81">
        <f>IF(Data!R412&gt;Data!Q412,DATEDIF(Data!Q412,Data!R412,"d"),0)</f>
        <v>15</v>
      </c>
      <c r="X412"/>
      <c r="Y412"/>
      <c r="Z412"/>
    </row>
    <row r="413" spans="2:26" ht="16" x14ac:dyDescent="0.2">
      <c r="B413" s="45"/>
      <c r="C413" s="80">
        <f t="shared" ca="1" si="13"/>
        <v>45959</v>
      </c>
      <c r="D413" s="81">
        <f ca="1">IF(Data!I413&lt;&gt;"",DATEDIF(Data!I413,C413,"m"),0)</f>
        <v>65</v>
      </c>
      <c r="E413" s="82">
        <f t="shared" ca="1" si="14"/>
        <v>5.416666666666667</v>
      </c>
      <c r="I413" s="81" t="str">
        <f>CONCATENATE(Data!M413,"-",Data!L413)</f>
        <v>CD-GE</v>
      </c>
      <c r="N413" s="81">
        <f>IF(Data!P413,DATEDIF(Data!O413,Data!P413,"d"),0)</f>
        <v>3</v>
      </c>
      <c r="O413" s="81">
        <f>IF(Data!M413="CD",1,0)</f>
        <v>1</v>
      </c>
      <c r="P413" s="81">
        <f>IF(Data!M413="CD",0,1)</f>
        <v>0</v>
      </c>
      <c r="Q413" s="81">
        <f>IF(Data!Q413&gt;Data!P413,DATEDIF(Data!P413,Data!Q413,"d"),0)</f>
        <v>10</v>
      </c>
      <c r="R413" s="81">
        <f>IF(Data!R413&gt;Data!Q413,DATEDIF(Data!Q413,Data!R413,"d"),0)</f>
        <v>28</v>
      </c>
      <c r="X413"/>
      <c r="Y413"/>
      <c r="Z413"/>
    </row>
    <row r="414" spans="2:26" ht="16" x14ac:dyDescent="0.2">
      <c r="B414" s="45"/>
      <c r="C414" s="80">
        <f t="shared" ca="1" si="13"/>
        <v>45959</v>
      </c>
      <c r="D414" s="81">
        <f>IF(Data!I414&lt;&gt;"",DATEDIF(Data!I414,C414,"m"),0)</f>
        <v>0</v>
      </c>
      <c r="E414" s="82">
        <f t="shared" si="14"/>
        <v>0</v>
      </c>
      <c r="I414" s="81" t="str">
        <f>CONCATENATE(Data!M414,"-",Data!L414)</f>
        <v>CD-BA</v>
      </c>
      <c r="N414" s="81">
        <f>IF(Data!P414,DATEDIF(Data!O414,Data!P414,"d"),0)</f>
        <v>3</v>
      </c>
      <c r="O414" s="81">
        <f>IF(Data!M414="CD",1,0)</f>
        <v>1</v>
      </c>
      <c r="P414" s="81">
        <f>IF(Data!M414="CD",0,1)</f>
        <v>0</v>
      </c>
      <c r="Q414" s="81">
        <f>IF(Data!Q414&gt;Data!P414,DATEDIF(Data!P414,Data!Q414,"d"),0)</f>
        <v>26</v>
      </c>
      <c r="R414" s="81">
        <f>IF(Data!R414&gt;Data!Q414,DATEDIF(Data!Q414,Data!R414,"d"),0)</f>
        <v>23</v>
      </c>
      <c r="X414"/>
      <c r="Y414"/>
      <c r="Z414"/>
    </row>
    <row r="415" spans="2:26" ht="16" x14ac:dyDescent="0.2">
      <c r="B415" s="45"/>
      <c r="C415" s="80">
        <f t="shared" ca="1" si="13"/>
        <v>45959</v>
      </c>
      <c r="D415" s="81">
        <f ca="1">IF(Data!I415&lt;&gt;"",DATEDIF(Data!I415,C415,"m"),0)</f>
        <v>13</v>
      </c>
      <c r="E415" s="82">
        <f t="shared" ca="1" si="14"/>
        <v>1.0833333333333333</v>
      </c>
      <c r="I415" s="81" t="str">
        <f>CONCATENATE(Data!M415,"-",Data!L415)</f>
        <v>CD-BA</v>
      </c>
      <c r="N415" s="81">
        <f>IF(Data!P415,DATEDIF(Data!O415,Data!P415,"d"),0)</f>
        <v>283</v>
      </c>
      <c r="O415" s="81">
        <f>IF(Data!M415="CD",1,0)</f>
        <v>1</v>
      </c>
      <c r="P415" s="81">
        <f>IF(Data!M415="CD",0,1)</f>
        <v>0</v>
      </c>
      <c r="Q415" s="81">
        <f>IF(Data!Q415&gt;Data!P415,DATEDIF(Data!P415,Data!Q415,"d"),0)</f>
        <v>0</v>
      </c>
      <c r="R415" s="81">
        <f>IF(Data!R415&gt;Data!Q415,DATEDIF(Data!Q415,Data!R415,"d"),0)</f>
        <v>28</v>
      </c>
      <c r="X415"/>
      <c r="Y415"/>
      <c r="Z415"/>
    </row>
    <row r="416" spans="2:26" ht="16" x14ac:dyDescent="0.2">
      <c r="B416" s="45"/>
      <c r="C416" s="80">
        <f t="shared" ca="1" si="13"/>
        <v>45959</v>
      </c>
      <c r="D416" s="81">
        <f>IF(Data!I416&lt;&gt;"",DATEDIF(Data!I416,C416,"m"),0)</f>
        <v>0</v>
      </c>
      <c r="E416" s="82">
        <f t="shared" si="14"/>
        <v>0</v>
      </c>
      <c r="I416" s="81" t="str">
        <f>CONCATENATE(Data!M416,"-",Data!L416)</f>
        <v>ML-CH</v>
      </c>
      <c r="N416" s="81">
        <f>IF(Data!P416,DATEDIF(Data!O416,Data!P416,"d"),0)</f>
        <v>2</v>
      </c>
      <c r="O416" s="81">
        <f>IF(Data!M416="CD",1,0)</f>
        <v>0</v>
      </c>
      <c r="P416" s="81">
        <f>IF(Data!M416="CD",0,1)</f>
        <v>1</v>
      </c>
      <c r="Q416" s="81">
        <f>IF(Data!Q416&gt;Data!P416,DATEDIF(Data!P416,Data!Q416,"d"),0)</f>
        <v>5</v>
      </c>
      <c r="R416" s="81">
        <f>IF(Data!R416&gt;Data!Q416,DATEDIF(Data!Q416,Data!R416,"d"),0)</f>
        <v>2</v>
      </c>
      <c r="X416"/>
      <c r="Y416"/>
      <c r="Z416"/>
    </row>
    <row r="417" spans="2:26" ht="16" x14ac:dyDescent="0.2">
      <c r="B417" s="45"/>
      <c r="C417" s="80">
        <f t="shared" ca="1" si="13"/>
        <v>45959</v>
      </c>
      <c r="D417" s="81">
        <f ca="1">IF(Data!I417&lt;&gt;"",DATEDIF(Data!I417,C417,"m"),0)</f>
        <v>196</v>
      </c>
      <c r="E417" s="82">
        <f t="shared" ca="1" si="14"/>
        <v>16.333333333333332</v>
      </c>
      <c r="I417" s="81" t="str">
        <f>CONCATENATE(Data!M417,"-",Data!L417)</f>
        <v>CD-BA</v>
      </c>
      <c r="N417" s="81">
        <f>IF(Data!P417,DATEDIF(Data!O417,Data!P417,"d"),0)</f>
        <v>0</v>
      </c>
      <c r="O417" s="81">
        <f>IF(Data!M417="CD",1,0)</f>
        <v>1</v>
      </c>
      <c r="P417" s="81">
        <f>IF(Data!M417="CD",0,1)</f>
        <v>0</v>
      </c>
      <c r="Q417" s="81">
        <f>IF(Data!Q417&gt;Data!P417,DATEDIF(Data!P417,Data!Q417,"d"),0)</f>
        <v>0</v>
      </c>
      <c r="R417" s="81">
        <f>IF(Data!R417&gt;Data!Q417,DATEDIF(Data!Q417,Data!R417,"d"),0)</f>
        <v>0</v>
      </c>
      <c r="X417"/>
      <c r="Y417"/>
      <c r="Z417"/>
    </row>
    <row r="418" spans="2:26" ht="16" x14ac:dyDescent="0.2">
      <c r="B418" s="45"/>
      <c r="C418" s="80">
        <f t="shared" ca="1" si="13"/>
        <v>45959</v>
      </c>
      <c r="D418" s="81">
        <f>IF(Data!I418&lt;&gt;"",DATEDIF(Data!I418,C418,"m"),0)</f>
        <v>0</v>
      </c>
      <c r="E418" s="82">
        <f t="shared" si="14"/>
        <v>0</v>
      </c>
      <c r="I418" s="81" t="str">
        <f>CONCATENATE(Data!M418,"-",Data!L418)</f>
        <v>CD-GE</v>
      </c>
      <c r="N418" s="81">
        <f>IF(Data!P418,DATEDIF(Data!O418,Data!P418,"d"),0)</f>
        <v>4</v>
      </c>
      <c r="O418" s="81">
        <f>IF(Data!M418="CD",1,0)</f>
        <v>1</v>
      </c>
      <c r="P418" s="81">
        <f>IF(Data!M418="CD",0,1)</f>
        <v>0</v>
      </c>
      <c r="Q418" s="81">
        <f>IF(Data!Q418&gt;Data!P418,DATEDIF(Data!P418,Data!Q418,"d"),0)</f>
        <v>18</v>
      </c>
      <c r="R418" s="81">
        <f>IF(Data!R418&gt;Data!Q418,DATEDIF(Data!Q418,Data!R418,"d"),0)</f>
        <v>20</v>
      </c>
      <c r="X418"/>
      <c r="Y418"/>
      <c r="Z418"/>
    </row>
    <row r="419" spans="2:26" ht="16" x14ac:dyDescent="0.2">
      <c r="B419" s="45"/>
      <c r="C419" s="80">
        <f t="shared" ca="1" si="13"/>
        <v>45959</v>
      </c>
      <c r="D419" s="81">
        <f>IF(Data!I419&lt;&gt;"",DATEDIF(Data!I419,C419,"m"),0)</f>
        <v>0</v>
      </c>
      <c r="E419" s="82">
        <f t="shared" si="14"/>
        <v>0</v>
      </c>
      <c r="I419" s="81" t="str">
        <f>CONCATENATE(Data!M419,"-",Data!L419)</f>
        <v>CD-VA</v>
      </c>
      <c r="N419" s="81">
        <f>IF(Data!P419,DATEDIF(Data!O419,Data!P419,"d"),0)</f>
        <v>6</v>
      </c>
      <c r="O419" s="81">
        <f>IF(Data!M419="CD",1,0)</f>
        <v>1</v>
      </c>
      <c r="P419" s="81">
        <f>IF(Data!M419="CD",0,1)</f>
        <v>0</v>
      </c>
      <c r="Q419" s="81">
        <f>IF(Data!Q419&gt;Data!P419,DATEDIF(Data!P419,Data!Q419,"d"),0)</f>
        <v>13</v>
      </c>
      <c r="R419" s="81">
        <f>IF(Data!R419&gt;Data!Q419,DATEDIF(Data!Q419,Data!R419,"d"),0)</f>
        <v>29</v>
      </c>
      <c r="X419"/>
      <c r="Y419"/>
      <c r="Z419"/>
    </row>
    <row r="420" spans="2:26" ht="16" x14ac:dyDescent="0.2">
      <c r="B420" s="45"/>
      <c r="C420" s="80">
        <f t="shared" ca="1" si="13"/>
        <v>45959</v>
      </c>
      <c r="D420" s="81">
        <f ca="1">IF(Data!I420&lt;&gt;"",DATEDIF(Data!I420,C420,"m"),0)</f>
        <v>91</v>
      </c>
      <c r="E420" s="82">
        <f t="shared" ca="1" si="14"/>
        <v>7.583333333333333</v>
      </c>
      <c r="I420" s="81" t="str">
        <f>CONCATENATE(Data!M420,"-",Data!L420)</f>
        <v>CD-BA</v>
      </c>
      <c r="N420" s="81">
        <f>IF(Data!P420,DATEDIF(Data!O420,Data!P420,"d"),0)</f>
        <v>159</v>
      </c>
      <c r="O420" s="81">
        <f>IF(Data!M420="CD",1,0)</f>
        <v>1</v>
      </c>
      <c r="P420" s="81">
        <f>IF(Data!M420="CD",0,1)</f>
        <v>0</v>
      </c>
      <c r="Q420" s="81">
        <f>IF(Data!Q420&gt;Data!P420,DATEDIF(Data!P420,Data!Q420,"d"),0)</f>
        <v>0</v>
      </c>
      <c r="R420" s="81">
        <f>IF(Data!R420&gt;Data!Q420,DATEDIF(Data!Q420,Data!R420,"d"),0)</f>
        <v>2</v>
      </c>
      <c r="X420"/>
      <c r="Y420"/>
      <c r="Z420"/>
    </row>
    <row r="421" spans="2:26" ht="16" x14ac:dyDescent="0.2">
      <c r="B421" s="45"/>
      <c r="C421" s="80">
        <f t="shared" ca="1" si="13"/>
        <v>45959</v>
      </c>
      <c r="D421" s="81">
        <f ca="1">IF(Data!I421&lt;&gt;"",DATEDIF(Data!I421,C421,"m"),0)</f>
        <v>196</v>
      </c>
      <c r="E421" s="82">
        <f t="shared" ca="1" si="14"/>
        <v>16.333333333333332</v>
      </c>
      <c r="I421" s="81" t="str">
        <f>CONCATENATE(Data!M421,"-",Data!L421)</f>
        <v>CD-GE</v>
      </c>
      <c r="N421" s="81">
        <f>IF(Data!P421,DATEDIF(Data!O421,Data!P421,"d"),0)</f>
        <v>7</v>
      </c>
      <c r="O421" s="81">
        <f>IF(Data!M421="CD",1,0)</f>
        <v>1</v>
      </c>
      <c r="P421" s="81">
        <f>IF(Data!M421="CD",0,1)</f>
        <v>0</v>
      </c>
      <c r="Q421" s="81">
        <f>IF(Data!Q421&gt;Data!P421,DATEDIF(Data!P421,Data!Q421,"d"),0)</f>
        <v>28</v>
      </c>
      <c r="R421" s="81">
        <f>IF(Data!R421&gt;Data!Q421,DATEDIF(Data!Q421,Data!R421,"d"),0)</f>
        <v>9</v>
      </c>
      <c r="X421"/>
      <c r="Y421"/>
      <c r="Z421"/>
    </row>
    <row r="422" spans="2:26" ht="16" x14ac:dyDescent="0.2">
      <c r="B422" s="45"/>
      <c r="C422" s="80">
        <f t="shared" ca="1" si="13"/>
        <v>45959</v>
      </c>
      <c r="D422" s="81">
        <f ca="1">IF(Data!I422&lt;&gt;"",DATEDIF(Data!I422,C422,"m"),0)</f>
        <v>11</v>
      </c>
      <c r="E422" s="82">
        <f t="shared" ca="1" si="14"/>
        <v>0.91666666666666663</v>
      </c>
      <c r="I422" s="81" t="str">
        <f>CONCATENATE(Data!M422,"-",Data!L422)</f>
        <v>CD-GE</v>
      </c>
      <c r="N422" s="81">
        <f>IF(Data!P422,DATEDIF(Data!O422,Data!P422,"d"),0)</f>
        <v>7</v>
      </c>
      <c r="O422" s="81">
        <f>IF(Data!M422="CD",1,0)</f>
        <v>1</v>
      </c>
      <c r="P422" s="81">
        <f>IF(Data!M422="CD",0,1)</f>
        <v>0</v>
      </c>
      <c r="Q422" s="81">
        <f>IF(Data!Q422&gt;Data!P422,DATEDIF(Data!P422,Data!Q422,"d"),0)</f>
        <v>10</v>
      </c>
      <c r="R422" s="81">
        <f>IF(Data!R422&gt;Data!Q422,DATEDIF(Data!Q422,Data!R422,"d"),0)</f>
        <v>18</v>
      </c>
      <c r="X422"/>
      <c r="Y422"/>
      <c r="Z422"/>
    </row>
    <row r="423" spans="2:26" ht="16" x14ac:dyDescent="0.2">
      <c r="B423" s="45"/>
      <c r="C423" s="80">
        <f t="shared" ca="1" si="13"/>
        <v>45959</v>
      </c>
      <c r="D423" s="81">
        <f ca="1">IF(Data!I423&lt;&gt;"",DATEDIF(Data!I423,C423,"m"),0)</f>
        <v>83</v>
      </c>
      <c r="E423" s="82">
        <f t="shared" ca="1" si="14"/>
        <v>6.916666666666667</v>
      </c>
      <c r="I423" s="81" t="str">
        <f>CONCATENATE(Data!M423,"-",Data!L423)</f>
        <v>CD-CH</v>
      </c>
      <c r="N423" s="81">
        <f>IF(Data!P423,DATEDIF(Data!O423,Data!P423,"d"),0)</f>
        <v>1</v>
      </c>
      <c r="O423" s="81">
        <f>IF(Data!M423="CD",1,0)</f>
        <v>1</v>
      </c>
      <c r="P423" s="81">
        <f>IF(Data!M423="CD",0,1)</f>
        <v>0</v>
      </c>
      <c r="Q423" s="81">
        <f>IF(Data!Q423&gt;Data!P423,DATEDIF(Data!P423,Data!Q423,"d"),0)</f>
        <v>4</v>
      </c>
      <c r="R423" s="81">
        <f>IF(Data!R423&gt;Data!Q423,DATEDIF(Data!Q423,Data!R423,"d"),0)</f>
        <v>28</v>
      </c>
      <c r="X423"/>
      <c r="Y423"/>
      <c r="Z423"/>
    </row>
    <row r="424" spans="2:26" ht="16" x14ac:dyDescent="0.2">
      <c r="B424" s="45"/>
      <c r="C424" s="80">
        <f t="shared" ca="1" si="13"/>
        <v>45959</v>
      </c>
      <c r="D424" s="81">
        <f ca="1">IF(Data!I424&lt;&gt;"",DATEDIF(Data!I424,C424,"m"),0)</f>
        <v>18</v>
      </c>
      <c r="E424" s="82">
        <f t="shared" ca="1" si="14"/>
        <v>1.5</v>
      </c>
      <c r="I424" s="81" t="str">
        <f>CONCATENATE(Data!M424,"-",Data!L424)</f>
        <v>CD-CH</v>
      </c>
      <c r="N424" s="81">
        <f>IF(Data!P424,DATEDIF(Data!O424,Data!P424,"d"),0)</f>
        <v>0</v>
      </c>
      <c r="O424" s="81">
        <f>IF(Data!M424="CD",1,0)</f>
        <v>1</v>
      </c>
      <c r="P424" s="81">
        <f>IF(Data!M424="CD",0,1)</f>
        <v>0</v>
      </c>
      <c r="Q424" s="81">
        <f>IF(Data!Q424&gt;Data!P424,DATEDIF(Data!P424,Data!Q424,"d"),0)</f>
        <v>5</v>
      </c>
      <c r="R424" s="81">
        <f>IF(Data!R424&gt;Data!Q424,DATEDIF(Data!Q424,Data!R424,"d"),0)</f>
        <v>15</v>
      </c>
      <c r="X424"/>
      <c r="Y424"/>
      <c r="Z424"/>
    </row>
    <row r="425" spans="2:26" ht="16" x14ac:dyDescent="0.2">
      <c r="B425" s="45"/>
      <c r="C425" s="80">
        <f t="shared" ca="1" si="13"/>
        <v>45959</v>
      </c>
      <c r="D425" s="81">
        <f ca="1">IF(Data!I425&lt;&gt;"",DATEDIF(Data!I425,C425,"m"),0)</f>
        <v>36</v>
      </c>
      <c r="E425" s="82">
        <f t="shared" ca="1" si="14"/>
        <v>3</v>
      </c>
      <c r="I425" s="81" t="str">
        <f>CONCATENATE(Data!M425,"-",Data!L425)</f>
        <v>CD-GE</v>
      </c>
      <c r="N425" s="81">
        <f>IF(Data!P425,DATEDIF(Data!O425,Data!P425,"d"),0)</f>
        <v>0</v>
      </c>
      <c r="O425" s="81">
        <f>IF(Data!M425="CD",1,0)</f>
        <v>1</v>
      </c>
      <c r="P425" s="81">
        <f>IF(Data!M425="CD",0,1)</f>
        <v>0</v>
      </c>
      <c r="Q425" s="81">
        <f>IF(Data!Q425&gt;Data!P425,DATEDIF(Data!P425,Data!Q425,"d"),0)</f>
        <v>1</v>
      </c>
      <c r="R425" s="81">
        <f>IF(Data!R425&gt;Data!Q425,DATEDIF(Data!Q425,Data!R425,"d"),0)</f>
        <v>6</v>
      </c>
      <c r="X425"/>
      <c r="Y425"/>
      <c r="Z425"/>
    </row>
    <row r="426" spans="2:26" ht="16" x14ac:dyDescent="0.2">
      <c r="B426" s="45"/>
      <c r="C426" s="80">
        <f t="shared" ca="1" si="13"/>
        <v>45959</v>
      </c>
      <c r="D426" s="81">
        <f ca="1">IF(Data!I426&lt;&gt;"",DATEDIF(Data!I426,C426,"m"),0)</f>
        <v>191</v>
      </c>
      <c r="E426" s="82">
        <f t="shared" ca="1" si="14"/>
        <v>15.916666666666666</v>
      </c>
      <c r="I426" s="81" t="str">
        <f>CONCATENATE(Data!M426,"-",Data!L426)</f>
        <v>CD-VA</v>
      </c>
      <c r="N426" s="81">
        <f>IF(Data!P426,DATEDIF(Data!O426,Data!P426,"d"),0)</f>
        <v>7</v>
      </c>
      <c r="O426" s="81">
        <f>IF(Data!M426="CD",1,0)</f>
        <v>1</v>
      </c>
      <c r="P426" s="81">
        <f>IF(Data!M426="CD",0,1)</f>
        <v>0</v>
      </c>
      <c r="Q426" s="81">
        <f>IF(Data!Q426&gt;Data!P426,DATEDIF(Data!P426,Data!Q426,"d"),0)</f>
        <v>14</v>
      </c>
      <c r="R426" s="81">
        <f>IF(Data!R426&gt;Data!Q426,DATEDIF(Data!Q426,Data!R426,"d"),0)</f>
        <v>29</v>
      </c>
      <c r="X426"/>
      <c r="Y426"/>
      <c r="Z426"/>
    </row>
    <row r="427" spans="2:26" ht="16" x14ac:dyDescent="0.2">
      <c r="B427" s="45"/>
      <c r="C427" s="80">
        <f t="shared" ca="1" si="13"/>
        <v>45959</v>
      </c>
      <c r="D427" s="81">
        <f ca="1">IF(Data!I427&lt;&gt;"",DATEDIF(Data!I427,C427,"m"),0)</f>
        <v>165</v>
      </c>
      <c r="E427" s="82">
        <f t="shared" ca="1" si="14"/>
        <v>13.75</v>
      </c>
      <c r="I427" s="81" t="str">
        <f>CONCATENATE(Data!M427,"-",Data!L427)</f>
        <v>CD-GE</v>
      </c>
      <c r="N427" s="81">
        <f>IF(Data!P427,DATEDIF(Data!O427,Data!P427,"d"),0)</f>
        <v>1</v>
      </c>
      <c r="O427" s="81">
        <f>IF(Data!M427="CD",1,0)</f>
        <v>1</v>
      </c>
      <c r="P427" s="81">
        <f>IF(Data!M427="CD",0,1)</f>
        <v>0</v>
      </c>
      <c r="Q427" s="81">
        <f>IF(Data!Q427&gt;Data!P427,DATEDIF(Data!P427,Data!Q427,"d"),0)</f>
        <v>1</v>
      </c>
      <c r="R427" s="81">
        <f>IF(Data!R427&gt;Data!Q427,DATEDIF(Data!Q427,Data!R427,"d"),0)</f>
        <v>34</v>
      </c>
      <c r="X427"/>
      <c r="Y427"/>
      <c r="Z427"/>
    </row>
    <row r="428" spans="2:26" ht="16" x14ac:dyDescent="0.2">
      <c r="B428" s="45"/>
      <c r="C428" s="80">
        <f t="shared" ca="1" si="13"/>
        <v>45959</v>
      </c>
      <c r="D428" s="81">
        <f ca="1">IF(Data!I428&lt;&gt;"",DATEDIF(Data!I428,C428,"m"),0)</f>
        <v>63</v>
      </c>
      <c r="E428" s="82">
        <f t="shared" ca="1" si="14"/>
        <v>5.25</v>
      </c>
      <c r="I428" s="81" t="str">
        <f>CONCATENATE(Data!M428,"-",Data!L428)</f>
        <v>CD-VA</v>
      </c>
      <c r="N428" s="81">
        <f>IF(Data!P428,DATEDIF(Data!O428,Data!P428,"d"),0)</f>
        <v>1</v>
      </c>
      <c r="O428" s="81">
        <f>IF(Data!M428="CD",1,0)</f>
        <v>1</v>
      </c>
      <c r="P428" s="81">
        <f>IF(Data!M428="CD",0,1)</f>
        <v>0</v>
      </c>
      <c r="Q428" s="81">
        <f>IF(Data!Q428&gt;Data!P428,DATEDIF(Data!P428,Data!Q428,"d"),0)</f>
        <v>0</v>
      </c>
      <c r="R428" s="81">
        <f>IF(Data!R428&gt;Data!Q428,DATEDIF(Data!Q428,Data!R428,"d"),0)</f>
        <v>15</v>
      </c>
      <c r="X428"/>
      <c r="Y428"/>
      <c r="Z428"/>
    </row>
    <row r="429" spans="2:26" ht="16" x14ac:dyDescent="0.2">
      <c r="B429" s="45"/>
      <c r="C429" s="80">
        <f t="shared" ca="1" si="13"/>
        <v>45959</v>
      </c>
      <c r="D429" s="81">
        <f ca="1">IF(Data!I429&lt;&gt;"",DATEDIF(Data!I429,C429,"m"),0)</f>
        <v>58</v>
      </c>
      <c r="E429" s="82">
        <f t="shared" ca="1" si="14"/>
        <v>4.833333333333333</v>
      </c>
      <c r="I429" s="81" t="str">
        <f>CONCATENATE(Data!M429,"-",Data!L429)</f>
        <v>CD-VA</v>
      </c>
      <c r="N429" s="81">
        <f>IF(Data!P429,DATEDIF(Data!O429,Data!P429,"d"),0)</f>
        <v>1</v>
      </c>
      <c r="O429" s="81">
        <f>IF(Data!M429="CD",1,0)</f>
        <v>1</v>
      </c>
      <c r="P429" s="81">
        <f>IF(Data!M429="CD",0,1)</f>
        <v>0</v>
      </c>
      <c r="Q429" s="81">
        <f>IF(Data!Q429&gt;Data!P429,DATEDIF(Data!P429,Data!Q429,"d"),0)</f>
        <v>0</v>
      </c>
      <c r="R429" s="81">
        <f>IF(Data!R429&gt;Data!Q429,DATEDIF(Data!Q429,Data!R429,"d"),0)</f>
        <v>15</v>
      </c>
      <c r="X429"/>
      <c r="Y429"/>
      <c r="Z429"/>
    </row>
    <row r="430" spans="2:26" ht="16" x14ac:dyDescent="0.2">
      <c r="B430" s="45"/>
      <c r="C430" s="80">
        <f t="shared" ca="1" si="13"/>
        <v>45959</v>
      </c>
      <c r="D430" s="81">
        <f ca="1">IF(Data!I430&lt;&gt;"",DATEDIF(Data!I430,C430,"m"),0)</f>
        <v>48</v>
      </c>
      <c r="E430" s="82">
        <f t="shared" ca="1" si="14"/>
        <v>4</v>
      </c>
      <c r="I430" s="81" t="str">
        <f>CONCATENATE(Data!M430,"-",Data!L430)</f>
        <v>CD-BA</v>
      </c>
      <c r="N430" s="81">
        <f>IF(Data!P430,DATEDIF(Data!O430,Data!P430,"d"),0)</f>
        <v>2</v>
      </c>
      <c r="O430" s="81">
        <f>IF(Data!M430="CD",1,0)</f>
        <v>1</v>
      </c>
      <c r="P430" s="81">
        <f>IF(Data!M430="CD",0,1)</f>
        <v>0</v>
      </c>
      <c r="Q430" s="81">
        <f>IF(Data!Q430&gt;Data!P430,DATEDIF(Data!P430,Data!Q430,"d"),0)</f>
        <v>7</v>
      </c>
      <c r="R430" s="81">
        <f>IF(Data!R430&gt;Data!Q430,DATEDIF(Data!Q430,Data!R430,"d"),0)</f>
        <v>13</v>
      </c>
      <c r="X430"/>
      <c r="Y430"/>
      <c r="Z430"/>
    </row>
    <row r="431" spans="2:26" ht="16" x14ac:dyDescent="0.2">
      <c r="B431" s="45"/>
      <c r="C431" s="80">
        <f t="shared" ca="1" si="13"/>
        <v>45959</v>
      </c>
      <c r="D431" s="81">
        <f ca="1">IF(Data!I431&lt;&gt;"",DATEDIF(Data!I431,C431,"m"),0)</f>
        <v>196</v>
      </c>
      <c r="E431" s="82">
        <f t="shared" ca="1" si="14"/>
        <v>16.333333333333332</v>
      </c>
      <c r="I431" s="81" t="str">
        <f>CONCATENATE(Data!M431,"-",Data!L431)</f>
        <v>CD-VA</v>
      </c>
      <c r="N431" s="81">
        <f>IF(Data!P431,DATEDIF(Data!O431,Data!P431,"d"),0)</f>
        <v>0</v>
      </c>
      <c r="O431" s="81">
        <f>IF(Data!M431="CD",1,0)</f>
        <v>1</v>
      </c>
      <c r="P431" s="81">
        <f>IF(Data!M431="CD",0,1)</f>
        <v>0</v>
      </c>
      <c r="Q431" s="81">
        <f>IF(Data!Q431&gt;Data!P431,DATEDIF(Data!P431,Data!Q431,"d"),0)</f>
        <v>0</v>
      </c>
      <c r="R431" s="81">
        <f>IF(Data!R431&gt;Data!Q431,DATEDIF(Data!Q431,Data!R431,"d"),0)</f>
        <v>13</v>
      </c>
      <c r="X431"/>
      <c r="Y431"/>
      <c r="Z431"/>
    </row>
    <row r="432" spans="2:26" ht="16" x14ac:dyDescent="0.2">
      <c r="B432" s="45"/>
      <c r="C432" s="80">
        <f t="shared" ca="1" si="13"/>
        <v>45959</v>
      </c>
      <c r="D432" s="81">
        <f ca="1">IF(Data!I432&lt;&gt;"",DATEDIF(Data!I432,C432,"m"),0)</f>
        <v>9</v>
      </c>
      <c r="E432" s="82">
        <f t="shared" ca="1" si="14"/>
        <v>0.75</v>
      </c>
      <c r="I432" s="81" t="str">
        <f>CONCATENATE(Data!M432,"-",Data!L432)</f>
        <v>CD-GE</v>
      </c>
      <c r="N432" s="81">
        <f>IF(Data!P432,DATEDIF(Data!O432,Data!P432,"d"),0)</f>
        <v>0</v>
      </c>
      <c r="O432" s="81">
        <f>IF(Data!M432="CD",1,0)</f>
        <v>1</v>
      </c>
      <c r="P432" s="81">
        <f>IF(Data!M432="CD",0,1)</f>
        <v>0</v>
      </c>
      <c r="Q432" s="81">
        <f>IF(Data!Q432&gt;Data!P432,DATEDIF(Data!P432,Data!Q432,"d"),0)</f>
        <v>2</v>
      </c>
      <c r="R432" s="81">
        <f>IF(Data!R432&gt;Data!Q432,DATEDIF(Data!Q432,Data!R432,"d"),0)</f>
        <v>22</v>
      </c>
      <c r="X432"/>
      <c r="Y432"/>
      <c r="Z432"/>
    </row>
    <row r="433" spans="2:26" ht="16" x14ac:dyDescent="0.2">
      <c r="B433" s="45"/>
      <c r="C433" s="80">
        <f t="shared" ca="1" si="13"/>
        <v>45959</v>
      </c>
      <c r="D433" s="81">
        <f ca="1">IF(Data!I433&lt;&gt;"",DATEDIF(Data!I433,C433,"m"),0)</f>
        <v>197</v>
      </c>
      <c r="E433" s="82">
        <f t="shared" ca="1" si="14"/>
        <v>16.416666666666668</v>
      </c>
      <c r="I433" s="81" t="str">
        <f>CONCATENATE(Data!M433,"-",Data!L433)</f>
        <v>CD-VA</v>
      </c>
      <c r="N433" s="81">
        <f>IF(Data!P433,DATEDIF(Data!O433,Data!P433,"d"),0)</f>
        <v>0</v>
      </c>
      <c r="O433" s="81">
        <f>IF(Data!M433="CD",1,0)</f>
        <v>1</v>
      </c>
      <c r="P433" s="81">
        <f>IF(Data!M433="CD",0,1)</f>
        <v>0</v>
      </c>
      <c r="Q433" s="81">
        <f>IF(Data!Q433&gt;Data!P433,DATEDIF(Data!P433,Data!Q433,"d"),0)</f>
        <v>0</v>
      </c>
      <c r="R433" s="81">
        <f>IF(Data!R433&gt;Data!Q433,DATEDIF(Data!Q433,Data!R433,"d"),0)</f>
        <v>13</v>
      </c>
      <c r="X433"/>
      <c r="Y433"/>
      <c r="Z433"/>
    </row>
    <row r="434" spans="2:26" ht="16" x14ac:dyDescent="0.2">
      <c r="B434" s="45"/>
      <c r="C434" s="80">
        <f t="shared" ca="1" si="13"/>
        <v>45959</v>
      </c>
      <c r="D434" s="81">
        <f ca="1">IF(Data!I434&lt;&gt;"",DATEDIF(Data!I434,C434,"m"),0)</f>
        <v>49</v>
      </c>
      <c r="E434" s="82">
        <f t="shared" ca="1" si="14"/>
        <v>4.083333333333333</v>
      </c>
      <c r="I434" s="81" t="str">
        <f>CONCATENATE(Data!M434,"-",Data!L434)</f>
        <v>CD-GE</v>
      </c>
      <c r="N434" s="81">
        <f>IF(Data!P434,DATEDIF(Data!O434,Data!P434,"d"),0)</f>
        <v>1</v>
      </c>
      <c r="O434" s="81">
        <f>IF(Data!M434="CD",1,0)</f>
        <v>1</v>
      </c>
      <c r="P434" s="81">
        <f>IF(Data!M434="CD",0,1)</f>
        <v>0</v>
      </c>
      <c r="Q434" s="81">
        <f>IF(Data!Q434&gt;Data!P434,DATEDIF(Data!P434,Data!Q434,"d"),0)</f>
        <v>2</v>
      </c>
      <c r="R434" s="81">
        <f>IF(Data!R434&gt;Data!Q434,DATEDIF(Data!Q434,Data!R434,"d"),0)</f>
        <v>32</v>
      </c>
      <c r="X434"/>
      <c r="Y434"/>
      <c r="Z434"/>
    </row>
    <row r="435" spans="2:26" ht="16" x14ac:dyDescent="0.2">
      <c r="B435" s="45"/>
      <c r="C435" s="80">
        <f t="shared" ca="1" si="13"/>
        <v>45959</v>
      </c>
      <c r="D435" s="81">
        <f ca="1">IF(Data!I435&lt;&gt;"",DATEDIF(Data!I435,C435,"m"),0)</f>
        <v>21</v>
      </c>
      <c r="E435" s="82">
        <f t="shared" ca="1" si="14"/>
        <v>1.75</v>
      </c>
      <c r="I435" s="81" t="str">
        <f>CONCATENATE(Data!M435,"-",Data!L435)</f>
        <v>CD-GE</v>
      </c>
      <c r="N435" s="81">
        <f>IF(Data!P435,DATEDIF(Data!O435,Data!P435,"d"),0)</f>
        <v>1</v>
      </c>
      <c r="O435" s="81">
        <f>IF(Data!M435="CD",1,0)</f>
        <v>1</v>
      </c>
      <c r="P435" s="81">
        <f>IF(Data!M435="CD",0,1)</f>
        <v>0</v>
      </c>
      <c r="Q435" s="81">
        <f>IF(Data!Q435&gt;Data!P435,DATEDIF(Data!P435,Data!Q435,"d"),0)</f>
        <v>2</v>
      </c>
      <c r="R435" s="81">
        <f>IF(Data!R435&gt;Data!Q435,DATEDIF(Data!Q435,Data!R435,"d"),0)</f>
        <v>35</v>
      </c>
      <c r="X435"/>
      <c r="Y435"/>
      <c r="Z435"/>
    </row>
    <row r="436" spans="2:26" ht="16" x14ac:dyDescent="0.2">
      <c r="B436" s="45"/>
      <c r="C436" s="80">
        <f t="shared" ca="1" si="13"/>
        <v>45959</v>
      </c>
      <c r="D436" s="81">
        <f ca="1">IF(Data!I436&lt;&gt;"",DATEDIF(Data!I436,C436,"m"),0)</f>
        <v>81</v>
      </c>
      <c r="E436" s="82">
        <f t="shared" ca="1" si="14"/>
        <v>6.75</v>
      </c>
      <c r="I436" s="81" t="str">
        <f>CONCATENATE(Data!M436,"-",Data!L436)</f>
        <v>CI-GE</v>
      </c>
      <c r="N436" s="81">
        <f>IF(Data!P436,DATEDIF(Data!O436,Data!P436,"d"),0)</f>
        <v>136</v>
      </c>
      <c r="O436" s="81">
        <f>IF(Data!M436="CD",1,0)</f>
        <v>0</v>
      </c>
      <c r="P436" s="81">
        <f>IF(Data!M436="CD",0,1)</f>
        <v>1</v>
      </c>
      <c r="Q436" s="81">
        <f>IF(Data!Q436&gt;Data!P436,DATEDIF(Data!P436,Data!Q436,"d"),0)</f>
        <v>0</v>
      </c>
      <c r="R436" s="81">
        <f>IF(Data!R436&gt;Data!Q436,DATEDIF(Data!Q436,Data!R436,"d"),0)</f>
        <v>10</v>
      </c>
      <c r="X436"/>
      <c r="Y436"/>
      <c r="Z436"/>
    </row>
    <row r="437" spans="2:26" ht="16" x14ac:dyDescent="0.2">
      <c r="B437" s="45"/>
      <c r="C437" s="80">
        <f t="shared" ca="1" si="13"/>
        <v>45959</v>
      </c>
      <c r="D437" s="81">
        <f ca="1">IF(Data!I437&lt;&gt;"",DATEDIF(Data!I437,C437,"m"),0)</f>
        <v>196</v>
      </c>
      <c r="E437" s="82">
        <f t="shared" ca="1" si="14"/>
        <v>16.333333333333332</v>
      </c>
      <c r="I437" s="81" t="str">
        <f>CONCATENATE(Data!M437,"-",Data!L437)</f>
        <v>CI-GE</v>
      </c>
      <c r="N437" s="81">
        <f>IF(Data!P437,DATEDIF(Data!O437,Data!P437,"d"),0)</f>
        <v>1</v>
      </c>
      <c r="O437" s="81">
        <f>IF(Data!M437="CD",1,0)</f>
        <v>0</v>
      </c>
      <c r="P437" s="81">
        <f>IF(Data!M437="CD",0,1)</f>
        <v>1</v>
      </c>
      <c r="Q437" s="81">
        <f>IF(Data!Q437&gt;Data!P437,DATEDIF(Data!P437,Data!Q437,"d"),0)</f>
        <v>2</v>
      </c>
      <c r="R437" s="81">
        <f>IF(Data!R437&gt;Data!Q437,DATEDIF(Data!Q437,Data!R437,"d"),0)</f>
        <v>26</v>
      </c>
      <c r="X437"/>
      <c r="Y437"/>
      <c r="Z437"/>
    </row>
    <row r="438" spans="2:26" ht="16" x14ac:dyDescent="0.2">
      <c r="B438" s="45"/>
      <c r="C438" s="80">
        <f t="shared" ca="1" si="13"/>
        <v>45959</v>
      </c>
      <c r="D438" s="81">
        <f ca="1">IF(Data!I438&lt;&gt;"",DATEDIF(Data!I438,C438,"m"),0)</f>
        <v>70</v>
      </c>
      <c r="E438" s="82">
        <f t="shared" ca="1" si="14"/>
        <v>5.833333333333333</v>
      </c>
      <c r="I438" s="81" t="str">
        <f>CONCATENATE(Data!M438,"-",Data!L438)</f>
        <v>CD-BA</v>
      </c>
      <c r="N438" s="81">
        <f>IF(Data!P438,DATEDIF(Data!O438,Data!P438,"d"),0)</f>
        <v>3</v>
      </c>
      <c r="O438" s="81">
        <f>IF(Data!M438="CD",1,0)</f>
        <v>1</v>
      </c>
      <c r="P438" s="81">
        <f>IF(Data!M438="CD",0,1)</f>
        <v>0</v>
      </c>
      <c r="Q438" s="81">
        <f>IF(Data!Q438&gt;Data!P438,DATEDIF(Data!P438,Data!Q438,"d"),0)</f>
        <v>37</v>
      </c>
      <c r="R438" s="81">
        <f>IF(Data!R438&gt;Data!Q438,DATEDIF(Data!Q438,Data!R438,"d"),0)</f>
        <v>22</v>
      </c>
      <c r="X438"/>
      <c r="Y438"/>
      <c r="Z438"/>
    </row>
    <row r="439" spans="2:26" ht="16" x14ac:dyDescent="0.2">
      <c r="B439" s="45"/>
      <c r="C439" s="80">
        <f t="shared" ca="1" si="13"/>
        <v>45959</v>
      </c>
      <c r="D439" s="81">
        <f ca="1">IF(Data!I439&lt;&gt;"",DATEDIF(Data!I439,C439,"m"),0)</f>
        <v>85</v>
      </c>
      <c r="E439" s="82">
        <f t="shared" ca="1" si="14"/>
        <v>7.083333333333333</v>
      </c>
      <c r="I439" s="81" t="str">
        <f>CONCATENATE(Data!M439,"-",Data!L439)</f>
        <v>CD-GE</v>
      </c>
      <c r="N439" s="81">
        <f>IF(Data!P439,DATEDIF(Data!O439,Data!P439,"d"),0)</f>
        <v>7</v>
      </c>
      <c r="O439" s="81">
        <f>IF(Data!M439="CD",1,0)</f>
        <v>1</v>
      </c>
      <c r="P439" s="81">
        <f>IF(Data!M439="CD",0,1)</f>
        <v>0</v>
      </c>
      <c r="Q439" s="81">
        <f>IF(Data!Q439&gt;Data!P439,DATEDIF(Data!P439,Data!Q439,"d"),0)</f>
        <v>7</v>
      </c>
      <c r="R439" s="81">
        <f>IF(Data!R439&gt;Data!Q439,DATEDIF(Data!Q439,Data!R439,"d"),0)</f>
        <v>17</v>
      </c>
      <c r="X439"/>
      <c r="Y439"/>
      <c r="Z439"/>
    </row>
    <row r="440" spans="2:26" ht="16" x14ac:dyDescent="0.2">
      <c r="B440" s="45"/>
      <c r="C440" s="80">
        <f t="shared" ca="1" si="13"/>
        <v>45959</v>
      </c>
      <c r="D440" s="81">
        <f ca="1">IF(Data!I440&lt;&gt;"",DATEDIF(Data!I440,C440,"m"),0)</f>
        <v>166</v>
      </c>
      <c r="E440" s="82">
        <f t="shared" ca="1" si="14"/>
        <v>13.833333333333334</v>
      </c>
      <c r="I440" s="81" t="str">
        <f>CONCATENATE(Data!M440,"-",Data!L440)</f>
        <v>CD-BA</v>
      </c>
      <c r="N440" s="81">
        <f>IF(Data!P440,DATEDIF(Data!O440,Data!P440,"d"),0)</f>
        <v>2</v>
      </c>
      <c r="O440" s="81">
        <f>IF(Data!M440="CD",1,0)</f>
        <v>1</v>
      </c>
      <c r="P440" s="81">
        <f>IF(Data!M440="CD",0,1)</f>
        <v>0</v>
      </c>
      <c r="Q440" s="81">
        <f>IF(Data!Q440&gt;Data!P440,DATEDIF(Data!P440,Data!Q440,"d"),0)</f>
        <v>22</v>
      </c>
      <c r="R440" s="81">
        <f>IF(Data!R440&gt;Data!Q440,DATEDIF(Data!Q440,Data!R440,"d"),0)</f>
        <v>17</v>
      </c>
      <c r="X440"/>
      <c r="Y440"/>
      <c r="Z440"/>
    </row>
    <row r="441" spans="2:26" ht="16" x14ac:dyDescent="0.2">
      <c r="B441" s="45"/>
      <c r="C441" s="80">
        <f t="shared" ca="1" si="13"/>
        <v>45959</v>
      </c>
      <c r="D441" s="81">
        <f ca="1">IF(Data!I441&lt;&gt;"",DATEDIF(Data!I441,C441,"m"),0)</f>
        <v>24</v>
      </c>
      <c r="E441" s="82">
        <f t="shared" ca="1" si="14"/>
        <v>2</v>
      </c>
      <c r="I441" s="81" t="str">
        <f>CONCATENATE(Data!M441,"-",Data!L441)</f>
        <v>CD-VA</v>
      </c>
      <c r="N441" s="81">
        <f>IF(Data!P441,DATEDIF(Data!O441,Data!P441,"d"),0)</f>
        <v>8</v>
      </c>
      <c r="O441" s="81">
        <f>IF(Data!M441="CD",1,0)</f>
        <v>1</v>
      </c>
      <c r="P441" s="81">
        <f>IF(Data!M441="CD",0,1)</f>
        <v>0</v>
      </c>
      <c r="Q441" s="81">
        <f>IF(Data!Q441&gt;Data!P441,DATEDIF(Data!P441,Data!Q441,"d"),0)</f>
        <v>1</v>
      </c>
      <c r="R441" s="81">
        <f>IF(Data!R441&gt;Data!Q441,DATEDIF(Data!Q441,Data!R441,"d"),0)</f>
        <v>12</v>
      </c>
      <c r="X441"/>
      <c r="Y441"/>
      <c r="Z441"/>
    </row>
    <row r="442" spans="2:26" ht="16" x14ac:dyDescent="0.2">
      <c r="B442" s="45"/>
      <c r="C442" s="80">
        <f t="shared" ca="1" si="13"/>
        <v>45959</v>
      </c>
      <c r="D442" s="81">
        <f>IF(Data!I442&lt;&gt;"",DATEDIF(Data!I442,C442,"m"),0)</f>
        <v>0</v>
      </c>
      <c r="E442" s="82">
        <f t="shared" si="14"/>
        <v>0</v>
      </c>
      <c r="I442" s="81" t="str">
        <f>CONCATENATE(Data!M442,"-",Data!L442)</f>
        <v>CD-GE</v>
      </c>
      <c r="N442" s="81">
        <f>IF(Data!P442,DATEDIF(Data!O442,Data!P442,"d"),0)</f>
        <v>3</v>
      </c>
      <c r="O442" s="81">
        <f>IF(Data!M442="CD",1,0)</f>
        <v>1</v>
      </c>
      <c r="P442" s="81">
        <f>IF(Data!M442="CD",0,1)</f>
        <v>0</v>
      </c>
      <c r="Q442" s="81">
        <f>IF(Data!Q442&gt;Data!P442,DATEDIF(Data!P442,Data!Q442,"d"),0)</f>
        <v>4</v>
      </c>
      <c r="R442" s="81">
        <f>IF(Data!R442&gt;Data!Q442,DATEDIF(Data!Q442,Data!R442,"d"),0)</f>
        <v>41</v>
      </c>
      <c r="X442"/>
      <c r="Y442"/>
      <c r="Z442"/>
    </row>
    <row r="443" spans="2:26" ht="16" x14ac:dyDescent="0.2">
      <c r="B443" s="45"/>
      <c r="C443" s="80">
        <f t="shared" ca="1" si="13"/>
        <v>45959</v>
      </c>
      <c r="D443" s="81">
        <f ca="1">IF(Data!I443&lt;&gt;"",DATEDIF(Data!I443,C443,"m"),0)</f>
        <v>12</v>
      </c>
      <c r="E443" s="82">
        <f t="shared" ca="1" si="14"/>
        <v>1</v>
      </c>
      <c r="I443" s="81" t="str">
        <f>CONCATENATE(Data!M443,"-",Data!L443)</f>
        <v>CD-VA</v>
      </c>
      <c r="N443" s="81">
        <f>IF(Data!P443,DATEDIF(Data!O443,Data!P443,"d"),0)</f>
        <v>12</v>
      </c>
      <c r="O443" s="81">
        <f>IF(Data!M443="CD",1,0)</f>
        <v>1</v>
      </c>
      <c r="P443" s="81">
        <f>IF(Data!M443="CD",0,1)</f>
        <v>0</v>
      </c>
      <c r="Q443" s="81">
        <f>IF(Data!Q443&gt;Data!P443,DATEDIF(Data!P443,Data!Q443,"d"),0)</f>
        <v>0</v>
      </c>
      <c r="R443" s="81">
        <f>IF(Data!R443&gt;Data!Q443,DATEDIF(Data!Q443,Data!R443,"d"),0)</f>
        <v>13</v>
      </c>
      <c r="X443"/>
      <c r="Y443"/>
      <c r="Z443"/>
    </row>
    <row r="444" spans="2:26" ht="16" x14ac:dyDescent="0.2">
      <c r="B444" s="45"/>
      <c r="C444" s="80">
        <f t="shared" ca="1" si="13"/>
        <v>45959</v>
      </c>
      <c r="D444" s="81">
        <f ca="1">IF(Data!I444&lt;&gt;"",DATEDIF(Data!I444,C444,"m"),0)</f>
        <v>20</v>
      </c>
      <c r="E444" s="82">
        <f t="shared" ca="1" si="14"/>
        <v>1.6666666666666667</v>
      </c>
      <c r="I444" s="81" t="str">
        <f>CONCATENATE(Data!M444,"-",Data!L444)</f>
        <v>CD-BA</v>
      </c>
      <c r="N444" s="81">
        <f>IF(Data!P444,DATEDIF(Data!O444,Data!P444,"d"),0)</f>
        <v>1</v>
      </c>
      <c r="O444" s="81">
        <f>IF(Data!M444="CD",1,0)</f>
        <v>1</v>
      </c>
      <c r="P444" s="81">
        <f>IF(Data!M444="CD",0,1)</f>
        <v>0</v>
      </c>
      <c r="Q444" s="81">
        <f>IF(Data!Q444&gt;Data!P444,DATEDIF(Data!P444,Data!Q444,"d"),0)</f>
        <v>17</v>
      </c>
      <c r="R444" s="81">
        <f>IF(Data!R444&gt;Data!Q444,DATEDIF(Data!Q444,Data!R444,"d"),0)</f>
        <v>4</v>
      </c>
      <c r="X444"/>
      <c r="Y444"/>
      <c r="Z444"/>
    </row>
    <row r="445" spans="2:26" ht="16" x14ac:dyDescent="0.2">
      <c r="B445" s="45"/>
      <c r="C445" s="80">
        <f t="shared" ca="1" si="13"/>
        <v>45959</v>
      </c>
      <c r="D445" s="81">
        <f ca="1">IF(Data!I445&lt;&gt;"",DATEDIF(Data!I445,C445,"m"),0)</f>
        <v>12</v>
      </c>
      <c r="E445" s="82">
        <f t="shared" ca="1" si="14"/>
        <v>1</v>
      </c>
      <c r="I445" s="81" t="str">
        <f>CONCATENATE(Data!M445,"-",Data!L445)</f>
        <v>CD-GE</v>
      </c>
      <c r="N445" s="81">
        <f>IF(Data!P445,DATEDIF(Data!O445,Data!P445,"d"),0)</f>
        <v>10</v>
      </c>
      <c r="O445" s="81">
        <f>IF(Data!M445="CD",1,0)</f>
        <v>1</v>
      </c>
      <c r="P445" s="81">
        <f>IF(Data!M445="CD",0,1)</f>
        <v>0</v>
      </c>
      <c r="Q445" s="81">
        <f>IF(Data!Q445&gt;Data!P445,DATEDIF(Data!P445,Data!Q445,"d"),0)</f>
        <v>8</v>
      </c>
      <c r="R445" s="81">
        <f>IF(Data!R445&gt;Data!Q445,DATEDIF(Data!Q445,Data!R445,"d"),0)</f>
        <v>27</v>
      </c>
      <c r="X445"/>
      <c r="Y445"/>
      <c r="Z445"/>
    </row>
    <row r="446" spans="2:26" ht="16" x14ac:dyDescent="0.2">
      <c r="B446" s="45"/>
      <c r="C446" s="80">
        <f t="shared" ca="1" si="13"/>
        <v>45959</v>
      </c>
      <c r="D446" s="81">
        <f ca="1">IF(Data!I446&lt;&gt;"",DATEDIF(Data!I446,C446,"m"),0)</f>
        <v>11</v>
      </c>
      <c r="E446" s="82">
        <f t="shared" ca="1" si="14"/>
        <v>0.91666666666666663</v>
      </c>
      <c r="I446" s="81" t="str">
        <f>CONCATENATE(Data!M446,"-",Data!L446)</f>
        <v>CD-GE</v>
      </c>
      <c r="N446" s="81">
        <f>IF(Data!P446,DATEDIF(Data!O446,Data!P446,"d"),0)</f>
        <v>10</v>
      </c>
      <c r="O446" s="81">
        <f>IF(Data!M446="CD",1,0)</f>
        <v>1</v>
      </c>
      <c r="P446" s="81">
        <f>IF(Data!M446="CD",0,1)</f>
        <v>0</v>
      </c>
      <c r="Q446" s="81">
        <f>IF(Data!Q446&gt;Data!P446,DATEDIF(Data!P446,Data!Q446,"d"),0)</f>
        <v>8</v>
      </c>
      <c r="R446" s="81">
        <f>IF(Data!R446&gt;Data!Q446,DATEDIF(Data!Q446,Data!R446,"d"),0)</f>
        <v>27</v>
      </c>
      <c r="X446"/>
      <c r="Y446"/>
      <c r="Z446"/>
    </row>
    <row r="447" spans="2:26" ht="16" x14ac:dyDescent="0.2">
      <c r="B447" s="45"/>
      <c r="C447" s="80">
        <f t="shared" ca="1" si="13"/>
        <v>45959</v>
      </c>
      <c r="D447" s="81">
        <f ca="1">IF(Data!I447&lt;&gt;"",DATEDIF(Data!I447,C447,"m"),0)</f>
        <v>41</v>
      </c>
      <c r="E447" s="82">
        <f t="shared" ca="1" si="14"/>
        <v>3.4166666666666665</v>
      </c>
      <c r="I447" s="81" t="str">
        <f>CONCATENATE(Data!M447,"-",Data!L447)</f>
        <v>CD-CH</v>
      </c>
      <c r="N447" s="81">
        <f>IF(Data!P447,DATEDIF(Data!O447,Data!P447,"d"),0)</f>
        <v>0</v>
      </c>
      <c r="O447" s="81">
        <f>IF(Data!M447="CD",1,0)</f>
        <v>1</v>
      </c>
      <c r="P447" s="81">
        <f>IF(Data!M447="CD",0,1)</f>
        <v>0</v>
      </c>
      <c r="Q447" s="81">
        <f>IF(Data!Q447&gt;Data!P447,DATEDIF(Data!P447,Data!Q447,"d"),0)</f>
        <v>14</v>
      </c>
      <c r="R447" s="81">
        <f>IF(Data!R447&gt;Data!Q447,DATEDIF(Data!Q447,Data!R447,"d"),0)</f>
        <v>19</v>
      </c>
      <c r="X447"/>
      <c r="Y447"/>
      <c r="Z447"/>
    </row>
    <row r="448" spans="2:26" ht="16" x14ac:dyDescent="0.2">
      <c r="B448" s="45"/>
      <c r="C448" s="80">
        <f t="shared" ca="1" si="13"/>
        <v>45959</v>
      </c>
      <c r="D448" s="81">
        <f ca="1">IF(Data!I448&lt;&gt;"",DATEDIF(Data!I448,C448,"m"),0)</f>
        <v>10</v>
      </c>
      <c r="E448" s="82">
        <f t="shared" ca="1" si="14"/>
        <v>0.83333333333333337</v>
      </c>
      <c r="I448" s="81" t="str">
        <f>CONCATENATE(Data!M448,"-",Data!L448)</f>
        <v>CD-VA</v>
      </c>
      <c r="N448" s="81">
        <f>IF(Data!P448,DATEDIF(Data!O448,Data!P448,"d"),0)</f>
        <v>44</v>
      </c>
      <c r="O448" s="81">
        <f>IF(Data!M448="CD",1,0)</f>
        <v>1</v>
      </c>
      <c r="P448" s="81">
        <f>IF(Data!M448="CD",0,1)</f>
        <v>0</v>
      </c>
      <c r="Q448" s="81">
        <f>IF(Data!Q448&gt;Data!P448,DATEDIF(Data!P448,Data!Q448,"d"),0)</f>
        <v>0</v>
      </c>
      <c r="R448" s="81">
        <f>IF(Data!R448&gt;Data!Q448,DATEDIF(Data!Q448,Data!R448,"d"),0)</f>
        <v>19</v>
      </c>
      <c r="X448"/>
      <c r="Y448"/>
      <c r="Z448"/>
    </row>
    <row r="449" spans="2:26" ht="16" x14ac:dyDescent="0.2">
      <c r="B449" s="45"/>
      <c r="C449" s="80">
        <f t="shared" ca="1" si="13"/>
        <v>45959</v>
      </c>
      <c r="D449" s="81">
        <f ca="1">IF(Data!I449&lt;&gt;"",DATEDIF(Data!I449,C449,"m"),0)</f>
        <v>196</v>
      </c>
      <c r="E449" s="82">
        <f t="shared" ca="1" si="14"/>
        <v>16.333333333333332</v>
      </c>
      <c r="I449" s="81" t="str">
        <f>CONCATENATE(Data!M449,"-",Data!L449)</f>
        <v>CD-BA</v>
      </c>
      <c r="N449" s="81">
        <f>IF(Data!P449,DATEDIF(Data!O449,Data!P449,"d"),0)</f>
        <v>0</v>
      </c>
      <c r="O449" s="81">
        <f>IF(Data!M449="CD",1,0)</f>
        <v>1</v>
      </c>
      <c r="P449" s="81">
        <f>IF(Data!M449="CD",0,1)</f>
        <v>0</v>
      </c>
      <c r="Q449" s="81">
        <f>IF(Data!Q449&gt;Data!P449,DATEDIF(Data!P449,Data!Q449,"d"),0)</f>
        <v>0</v>
      </c>
      <c r="R449" s="81">
        <f>IF(Data!R449&gt;Data!Q449,DATEDIF(Data!Q449,Data!R449,"d"),0)</f>
        <v>0</v>
      </c>
      <c r="X449"/>
      <c r="Y449"/>
      <c r="Z449"/>
    </row>
    <row r="450" spans="2:26" ht="16" x14ac:dyDescent="0.2">
      <c r="B450" s="45"/>
      <c r="C450" s="80">
        <f t="shared" ref="C450:C513" ca="1" si="15">TODAY()</f>
        <v>45959</v>
      </c>
      <c r="D450" s="81">
        <f ca="1">IF(Data!I450&lt;&gt;"",DATEDIF(Data!I450,C450,"m"),0)</f>
        <v>10</v>
      </c>
      <c r="E450" s="82">
        <f t="shared" ca="1" si="14"/>
        <v>0.83333333333333337</v>
      </c>
      <c r="I450" s="81" t="str">
        <f>CONCATENATE(Data!M450,"-",Data!L450)</f>
        <v>CD-BA</v>
      </c>
      <c r="N450" s="81">
        <f>IF(Data!P450,DATEDIF(Data!O450,Data!P450,"d"),0)</f>
        <v>0</v>
      </c>
      <c r="O450" s="81">
        <f>IF(Data!M450="CD",1,0)</f>
        <v>1</v>
      </c>
      <c r="P450" s="81">
        <f>IF(Data!M450="CD",0,1)</f>
        <v>0</v>
      </c>
      <c r="Q450" s="81">
        <f>IF(Data!Q450&gt;Data!P450,DATEDIF(Data!P450,Data!Q450,"d"),0)</f>
        <v>1</v>
      </c>
      <c r="R450" s="81">
        <f>IF(Data!R450&gt;Data!Q450,DATEDIF(Data!Q450,Data!R450,"d"),0)</f>
        <v>31</v>
      </c>
      <c r="X450"/>
      <c r="Y450"/>
      <c r="Z450"/>
    </row>
    <row r="451" spans="2:26" ht="16" x14ac:dyDescent="0.2">
      <c r="B451" s="45"/>
      <c r="C451" s="80">
        <f t="shared" ca="1" si="15"/>
        <v>45959</v>
      </c>
      <c r="D451" s="81">
        <f ca="1">IF(Data!I451&lt;&gt;"",DATEDIF(Data!I451,C451,"m"),0)</f>
        <v>196</v>
      </c>
      <c r="E451" s="82">
        <f t="shared" ref="E451:E514" ca="1" si="16">D451/12</f>
        <v>16.333333333333332</v>
      </c>
      <c r="I451" s="81" t="str">
        <f>CONCATENATE(Data!M451,"-",Data!L451)</f>
        <v>CD-VA</v>
      </c>
      <c r="N451" s="81">
        <f>IF(Data!P451,DATEDIF(Data!O451,Data!P451,"d"),0)</f>
        <v>19</v>
      </c>
      <c r="O451" s="81">
        <f>IF(Data!M451="CD",1,0)</f>
        <v>1</v>
      </c>
      <c r="P451" s="81">
        <f>IF(Data!M451="CD",0,1)</f>
        <v>0</v>
      </c>
      <c r="Q451" s="81">
        <f>IF(Data!Q451&gt;Data!P451,DATEDIF(Data!P451,Data!Q451,"d"),0)</f>
        <v>0</v>
      </c>
      <c r="R451" s="81">
        <f>IF(Data!R451&gt;Data!Q451,DATEDIF(Data!Q451,Data!R451,"d"),0)</f>
        <v>13</v>
      </c>
      <c r="X451"/>
      <c r="Y451"/>
      <c r="Z451"/>
    </row>
    <row r="452" spans="2:26" ht="16" x14ac:dyDescent="0.2">
      <c r="B452" s="45"/>
      <c r="C452" s="80">
        <f t="shared" ca="1" si="15"/>
        <v>45959</v>
      </c>
      <c r="D452" s="81">
        <f ca="1">IF(Data!I452&lt;&gt;"",DATEDIF(Data!I452,C452,"m"),0)</f>
        <v>19</v>
      </c>
      <c r="E452" s="82">
        <f t="shared" ca="1" si="16"/>
        <v>1.5833333333333333</v>
      </c>
      <c r="I452" s="81" t="str">
        <f>CONCATENATE(Data!M452,"-",Data!L452)</f>
        <v>CD-CH</v>
      </c>
      <c r="N452" s="81">
        <f>IF(Data!P452,DATEDIF(Data!O452,Data!P452,"d"),0)</f>
        <v>1</v>
      </c>
      <c r="O452" s="81">
        <f>IF(Data!M452="CD",1,0)</f>
        <v>1</v>
      </c>
      <c r="P452" s="81">
        <f>IF(Data!M452="CD",0,1)</f>
        <v>0</v>
      </c>
      <c r="Q452" s="81">
        <f>IF(Data!Q452&gt;Data!P452,DATEDIF(Data!P452,Data!Q452,"d"),0)</f>
        <v>27</v>
      </c>
      <c r="R452" s="81">
        <f>IF(Data!R452&gt;Data!Q452,DATEDIF(Data!Q452,Data!R452,"d"),0)</f>
        <v>0</v>
      </c>
      <c r="X452"/>
      <c r="Y452"/>
      <c r="Z452"/>
    </row>
    <row r="453" spans="2:26" ht="16" x14ac:dyDescent="0.2">
      <c r="B453" s="45"/>
      <c r="C453" s="80">
        <f t="shared" ca="1" si="15"/>
        <v>45959</v>
      </c>
      <c r="D453" s="81">
        <f ca="1">IF(Data!I453&lt;&gt;"",DATEDIF(Data!I453,C453,"m"),0)</f>
        <v>127</v>
      </c>
      <c r="E453" s="82">
        <f t="shared" ca="1" si="16"/>
        <v>10.583333333333334</v>
      </c>
      <c r="I453" s="81" t="str">
        <f>CONCATENATE(Data!M453,"-",Data!L453)</f>
        <v>CD-GE</v>
      </c>
      <c r="N453" s="81">
        <f>IF(Data!P453,DATEDIF(Data!O453,Data!P453,"d"),0)</f>
        <v>29</v>
      </c>
      <c r="O453" s="81">
        <f>IF(Data!M453="CD",1,0)</f>
        <v>1</v>
      </c>
      <c r="P453" s="81">
        <f>IF(Data!M453="CD",0,1)</f>
        <v>0</v>
      </c>
      <c r="Q453" s="81">
        <f>IF(Data!Q453&gt;Data!P453,DATEDIF(Data!P453,Data!Q453,"d"),0)</f>
        <v>11</v>
      </c>
      <c r="R453" s="81">
        <f>IF(Data!R453&gt;Data!Q453,DATEDIF(Data!Q453,Data!R453,"d"),0)</f>
        <v>9</v>
      </c>
      <c r="X453"/>
      <c r="Y453"/>
      <c r="Z453"/>
    </row>
    <row r="454" spans="2:26" ht="16" x14ac:dyDescent="0.2">
      <c r="B454" s="45"/>
      <c r="C454" s="80">
        <f t="shared" ca="1" si="15"/>
        <v>45959</v>
      </c>
      <c r="D454" s="81">
        <f ca="1">IF(Data!I454&lt;&gt;"",DATEDIF(Data!I454,C454,"m"),0)</f>
        <v>125</v>
      </c>
      <c r="E454" s="82">
        <f t="shared" ca="1" si="16"/>
        <v>10.416666666666666</v>
      </c>
      <c r="I454" s="81" t="str">
        <f>CONCATENATE(Data!M454,"-",Data!L454)</f>
        <v>CD-BA</v>
      </c>
      <c r="N454" s="81">
        <f>IF(Data!P454,DATEDIF(Data!O454,Data!P454,"d"),0)</f>
        <v>0</v>
      </c>
      <c r="O454" s="81">
        <f>IF(Data!M454="CD",1,0)</f>
        <v>1</v>
      </c>
      <c r="P454" s="81">
        <f>IF(Data!M454="CD",0,1)</f>
        <v>0</v>
      </c>
      <c r="Q454" s="81">
        <f>IF(Data!Q454&gt;Data!P454,DATEDIF(Data!P454,Data!Q454,"d"),0)</f>
        <v>1</v>
      </c>
      <c r="R454" s="81">
        <f>IF(Data!R454&gt;Data!Q454,DATEDIF(Data!Q454,Data!R454,"d"),0)</f>
        <v>1</v>
      </c>
      <c r="X454"/>
      <c r="Y454"/>
      <c r="Z454"/>
    </row>
    <row r="455" spans="2:26" ht="16" x14ac:dyDescent="0.2">
      <c r="B455" s="45"/>
      <c r="C455" s="80">
        <f t="shared" ca="1" si="15"/>
        <v>45959</v>
      </c>
      <c r="D455" s="81">
        <f ca="1">IF(Data!I455&lt;&gt;"",DATEDIF(Data!I455,C455,"m"),0)</f>
        <v>84</v>
      </c>
      <c r="E455" s="82">
        <f t="shared" ca="1" si="16"/>
        <v>7</v>
      </c>
      <c r="I455" s="81" t="str">
        <f>CONCATENATE(Data!M455,"-",Data!L455)</f>
        <v>CD-VA</v>
      </c>
      <c r="N455" s="81">
        <f>IF(Data!P455,DATEDIF(Data!O455,Data!P455,"d"),0)</f>
        <v>0</v>
      </c>
      <c r="O455" s="81">
        <f>IF(Data!M455="CD",1,0)</f>
        <v>1</v>
      </c>
      <c r="P455" s="81">
        <f>IF(Data!M455="CD",0,1)</f>
        <v>0</v>
      </c>
      <c r="Q455" s="81">
        <f>IF(Data!Q455&gt;Data!P455,DATEDIF(Data!P455,Data!Q455,"d"),0)</f>
        <v>16</v>
      </c>
      <c r="R455" s="81">
        <f>IF(Data!R455&gt;Data!Q455,DATEDIF(Data!Q455,Data!R455,"d"),0)</f>
        <v>6</v>
      </c>
      <c r="X455"/>
      <c r="Y455"/>
      <c r="Z455"/>
    </row>
    <row r="456" spans="2:26" ht="16" x14ac:dyDescent="0.2">
      <c r="B456" s="45"/>
      <c r="C456" s="80">
        <f t="shared" ca="1" si="15"/>
        <v>45959</v>
      </c>
      <c r="D456" s="81">
        <f ca="1">IF(Data!I456&lt;&gt;"",DATEDIF(Data!I456,C456,"m"),0)</f>
        <v>139</v>
      </c>
      <c r="E456" s="82">
        <f t="shared" ca="1" si="16"/>
        <v>11.583333333333334</v>
      </c>
      <c r="I456" s="81" t="str">
        <f>CONCATENATE(Data!M456,"-",Data!L456)</f>
        <v>CD-BA</v>
      </c>
      <c r="N456" s="81">
        <f>IF(Data!P456,DATEDIF(Data!O456,Data!P456,"d"),0)</f>
        <v>0</v>
      </c>
      <c r="O456" s="81">
        <f>IF(Data!M456="CD",1,0)</f>
        <v>1</v>
      </c>
      <c r="P456" s="81">
        <f>IF(Data!M456="CD",0,1)</f>
        <v>0</v>
      </c>
      <c r="Q456" s="81">
        <f>IF(Data!Q456&gt;Data!P456,DATEDIF(Data!P456,Data!Q456,"d"),0)</f>
        <v>64</v>
      </c>
      <c r="R456" s="81">
        <f>IF(Data!R456&gt;Data!Q456,DATEDIF(Data!Q456,Data!R456,"d"),0)</f>
        <v>21</v>
      </c>
      <c r="X456"/>
      <c r="Y456"/>
      <c r="Z456"/>
    </row>
    <row r="457" spans="2:26" ht="16" x14ac:dyDescent="0.2">
      <c r="B457" s="45"/>
      <c r="C457" s="80">
        <f t="shared" ca="1" si="15"/>
        <v>45959</v>
      </c>
      <c r="D457" s="81">
        <f ca="1">IF(Data!I457&lt;&gt;"",DATEDIF(Data!I457,C457,"m"),0)</f>
        <v>131</v>
      </c>
      <c r="E457" s="82">
        <f t="shared" ca="1" si="16"/>
        <v>10.916666666666666</v>
      </c>
      <c r="I457" s="81" t="str">
        <f>CONCATENATE(Data!M457,"-",Data!L457)</f>
        <v>CD-BA</v>
      </c>
      <c r="N457" s="81">
        <f>IF(Data!P457,DATEDIF(Data!O457,Data!P457,"d"),0)</f>
        <v>0</v>
      </c>
      <c r="O457" s="81">
        <f>IF(Data!M457="CD",1,0)</f>
        <v>1</v>
      </c>
      <c r="P457" s="81">
        <f>IF(Data!M457="CD",0,1)</f>
        <v>0</v>
      </c>
      <c r="Q457" s="81">
        <f>IF(Data!Q457&gt;Data!P457,DATEDIF(Data!P457,Data!Q457,"d"),0)</f>
        <v>1</v>
      </c>
      <c r="R457" s="81">
        <f>IF(Data!R457&gt;Data!Q457,DATEDIF(Data!Q457,Data!R457,"d"),0)</f>
        <v>26</v>
      </c>
      <c r="X457"/>
      <c r="Y457"/>
      <c r="Z457"/>
    </row>
    <row r="458" spans="2:26" ht="16" x14ac:dyDescent="0.2">
      <c r="B458" s="45"/>
      <c r="C458" s="80">
        <f t="shared" ca="1" si="15"/>
        <v>45959</v>
      </c>
      <c r="D458" s="81">
        <f>IF(Data!I458&lt;&gt;"",DATEDIF(Data!I458,C458,"m"),0)</f>
        <v>0</v>
      </c>
      <c r="E458" s="82">
        <f t="shared" si="16"/>
        <v>0</v>
      </c>
      <c r="I458" s="81" t="str">
        <f>CONCATENATE(Data!M458,"-",Data!L458)</f>
        <v>CD-VA</v>
      </c>
      <c r="N458" s="81">
        <f>IF(Data!P458,DATEDIF(Data!O458,Data!P458,"d"),0)</f>
        <v>1</v>
      </c>
      <c r="O458" s="81">
        <f>IF(Data!M458="CD",1,0)</f>
        <v>1</v>
      </c>
      <c r="P458" s="81">
        <f>IF(Data!M458="CD",0,1)</f>
        <v>0</v>
      </c>
      <c r="Q458" s="81">
        <f>IF(Data!Q458&gt;Data!P458,DATEDIF(Data!P458,Data!Q458,"d"),0)</f>
        <v>1</v>
      </c>
      <c r="R458" s="81">
        <f>IF(Data!R458&gt;Data!Q458,DATEDIF(Data!Q458,Data!R458,"d"),0)</f>
        <v>21</v>
      </c>
      <c r="X458"/>
      <c r="Y458"/>
      <c r="Z458"/>
    </row>
    <row r="459" spans="2:26" ht="16" x14ac:dyDescent="0.2">
      <c r="B459" s="45"/>
      <c r="C459" s="80">
        <f t="shared" ca="1" si="15"/>
        <v>45959</v>
      </c>
      <c r="D459" s="81">
        <f ca="1">IF(Data!I459&lt;&gt;"",DATEDIF(Data!I459,C459,"m"),0)</f>
        <v>44</v>
      </c>
      <c r="E459" s="82">
        <f t="shared" ca="1" si="16"/>
        <v>3.6666666666666665</v>
      </c>
      <c r="I459" s="81" t="str">
        <f>CONCATENATE(Data!M459,"-",Data!L459)</f>
        <v>CD-GE</v>
      </c>
      <c r="N459" s="81">
        <f>IF(Data!P459,DATEDIF(Data!O459,Data!P459,"d"),0)</f>
        <v>2</v>
      </c>
      <c r="O459" s="81">
        <f>IF(Data!M459="CD",1,0)</f>
        <v>1</v>
      </c>
      <c r="P459" s="81">
        <f>IF(Data!M459="CD",0,1)</f>
        <v>0</v>
      </c>
      <c r="Q459" s="81">
        <f>IF(Data!Q459&gt;Data!P459,DATEDIF(Data!P459,Data!Q459,"d"),0)</f>
        <v>0</v>
      </c>
      <c r="R459" s="81">
        <f>IF(Data!R459&gt;Data!Q459,DATEDIF(Data!Q459,Data!R459,"d"),0)</f>
        <v>29</v>
      </c>
      <c r="X459"/>
      <c r="Y459"/>
      <c r="Z459"/>
    </row>
    <row r="460" spans="2:26" ht="16" x14ac:dyDescent="0.2">
      <c r="B460" s="45"/>
      <c r="C460" s="80">
        <f t="shared" ca="1" si="15"/>
        <v>45959</v>
      </c>
      <c r="D460" s="81">
        <f ca="1">IF(Data!I460&lt;&gt;"",DATEDIF(Data!I460,C460,"m"),0)</f>
        <v>72</v>
      </c>
      <c r="E460" s="82">
        <f t="shared" ca="1" si="16"/>
        <v>6</v>
      </c>
      <c r="I460" s="81" t="str">
        <f>CONCATENATE(Data!M460,"-",Data!L460)</f>
        <v>CD-BA</v>
      </c>
      <c r="N460" s="81">
        <f>IF(Data!P460,DATEDIF(Data!O460,Data!P460,"d"),0)</f>
        <v>0</v>
      </c>
      <c r="O460" s="81">
        <f>IF(Data!M460="CD",1,0)</f>
        <v>1</v>
      </c>
      <c r="P460" s="81">
        <f>IF(Data!M460="CD",0,1)</f>
        <v>0</v>
      </c>
      <c r="Q460" s="81">
        <f>IF(Data!Q460&gt;Data!P460,DATEDIF(Data!P460,Data!Q460,"d"),0)</f>
        <v>2</v>
      </c>
      <c r="R460" s="81">
        <f>IF(Data!R460&gt;Data!Q460,DATEDIF(Data!Q460,Data!R460,"d"),0)</f>
        <v>28</v>
      </c>
      <c r="X460"/>
      <c r="Y460"/>
      <c r="Z460"/>
    </row>
    <row r="461" spans="2:26" ht="16" x14ac:dyDescent="0.2">
      <c r="B461" s="45"/>
      <c r="C461" s="80">
        <f t="shared" ca="1" si="15"/>
        <v>45959</v>
      </c>
      <c r="D461" s="81">
        <f ca="1">IF(Data!I461&lt;&gt;"",DATEDIF(Data!I461,C461,"m"),0)</f>
        <v>13</v>
      </c>
      <c r="E461" s="82">
        <f t="shared" ca="1" si="16"/>
        <v>1.0833333333333333</v>
      </c>
      <c r="I461" s="81" t="str">
        <f>CONCATENATE(Data!M461,"-",Data!L461)</f>
        <v>CD-VA</v>
      </c>
      <c r="N461" s="81">
        <f>IF(Data!P461,DATEDIF(Data!O461,Data!P461,"d"),0)</f>
        <v>2</v>
      </c>
      <c r="O461" s="81">
        <f>IF(Data!M461="CD",1,0)</f>
        <v>1</v>
      </c>
      <c r="P461" s="81">
        <f>IF(Data!M461="CD",0,1)</f>
        <v>0</v>
      </c>
      <c r="Q461" s="81">
        <f>IF(Data!Q461&gt;Data!P461,DATEDIF(Data!P461,Data!Q461,"d"),0)</f>
        <v>1</v>
      </c>
      <c r="R461" s="81">
        <f>IF(Data!R461&gt;Data!Q461,DATEDIF(Data!Q461,Data!R461,"d"),0)</f>
        <v>18</v>
      </c>
      <c r="X461"/>
      <c r="Y461"/>
      <c r="Z461"/>
    </row>
    <row r="462" spans="2:26" ht="16" x14ac:dyDescent="0.2">
      <c r="B462" s="45"/>
      <c r="C462" s="80">
        <f t="shared" ca="1" si="15"/>
        <v>45959</v>
      </c>
      <c r="D462" s="81">
        <f ca="1">IF(Data!I462&lt;&gt;"",DATEDIF(Data!I462,C462,"m"),0)</f>
        <v>12</v>
      </c>
      <c r="E462" s="82">
        <f t="shared" ca="1" si="16"/>
        <v>1</v>
      </c>
      <c r="I462" s="81" t="str">
        <f>CONCATENATE(Data!M462,"-",Data!L462)</f>
        <v>CD-GE</v>
      </c>
      <c r="N462" s="81">
        <f>IF(Data!P462,DATEDIF(Data!O462,Data!P462,"d"),0)</f>
        <v>256</v>
      </c>
      <c r="O462" s="81">
        <f>IF(Data!M462="CD",1,0)</f>
        <v>1</v>
      </c>
      <c r="P462" s="81">
        <f>IF(Data!M462="CD",0,1)</f>
        <v>0</v>
      </c>
      <c r="Q462" s="81">
        <f>IF(Data!Q462&gt;Data!P462,DATEDIF(Data!P462,Data!Q462,"d"),0)</f>
        <v>0</v>
      </c>
      <c r="R462" s="81">
        <f>IF(Data!R462&gt;Data!Q462,DATEDIF(Data!Q462,Data!R462,"d"),0)</f>
        <v>30</v>
      </c>
      <c r="X462"/>
      <c r="Y462"/>
      <c r="Z462"/>
    </row>
    <row r="463" spans="2:26" ht="16" x14ac:dyDescent="0.2">
      <c r="B463" s="45"/>
      <c r="C463" s="80">
        <f t="shared" ca="1" si="15"/>
        <v>45959</v>
      </c>
      <c r="D463" s="81">
        <f ca="1">IF(Data!I463&lt;&gt;"",DATEDIF(Data!I463,C463,"m"),0)</f>
        <v>17</v>
      </c>
      <c r="E463" s="82">
        <f t="shared" ca="1" si="16"/>
        <v>1.4166666666666667</v>
      </c>
      <c r="I463" s="81" t="str">
        <f>CONCATENATE(Data!M463,"-",Data!L463)</f>
        <v>CD-VA</v>
      </c>
      <c r="N463" s="81">
        <f>IF(Data!P463,DATEDIF(Data!O463,Data!P463,"d"),0)</f>
        <v>5</v>
      </c>
      <c r="O463" s="81">
        <f>IF(Data!M463="CD",1,0)</f>
        <v>1</v>
      </c>
      <c r="P463" s="81">
        <f>IF(Data!M463="CD",0,1)</f>
        <v>0</v>
      </c>
      <c r="Q463" s="81">
        <f>IF(Data!Q463&gt;Data!P463,DATEDIF(Data!P463,Data!Q463,"d"),0)</f>
        <v>16</v>
      </c>
      <c r="R463" s="81">
        <f>IF(Data!R463&gt;Data!Q463,DATEDIF(Data!Q463,Data!R463,"d"),0)</f>
        <v>17</v>
      </c>
      <c r="X463"/>
      <c r="Y463"/>
      <c r="Z463"/>
    </row>
    <row r="464" spans="2:26" ht="16" x14ac:dyDescent="0.2">
      <c r="B464" s="45"/>
      <c r="C464" s="80">
        <f t="shared" ca="1" si="15"/>
        <v>45959</v>
      </c>
      <c r="D464" s="81">
        <f>IF(Data!I464&lt;&gt;"",DATEDIF(Data!I464,C464,"m"),0)</f>
        <v>0</v>
      </c>
      <c r="E464" s="82">
        <f t="shared" si="16"/>
        <v>0</v>
      </c>
      <c r="I464" s="81" t="str">
        <f>CONCATENATE(Data!M464,"-",Data!L464)</f>
        <v>CD-GE</v>
      </c>
      <c r="N464" s="81">
        <f>IF(Data!P464,DATEDIF(Data!O464,Data!P464,"d"),0)</f>
        <v>6</v>
      </c>
      <c r="O464" s="81">
        <f>IF(Data!M464="CD",1,0)</f>
        <v>1</v>
      </c>
      <c r="P464" s="81">
        <f>IF(Data!M464="CD",0,1)</f>
        <v>0</v>
      </c>
      <c r="Q464" s="81">
        <f>IF(Data!Q464&gt;Data!P464,DATEDIF(Data!P464,Data!Q464,"d"),0)</f>
        <v>0</v>
      </c>
      <c r="R464" s="81">
        <f>IF(Data!R464&gt;Data!Q464,DATEDIF(Data!Q464,Data!R464,"d"),0)</f>
        <v>32</v>
      </c>
      <c r="X464"/>
      <c r="Y464"/>
      <c r="Z464"/>
    </row>
    <row r="465" spans="2:26" ht="16" x14ac:dyDescent="0.2">
      <c r="B465" s="45"/>
      <c r="C465" s="80">
        <f t="shared" ca="1" si="15"/>
        <v>45959</v>
      </c>
      <c r="D465" s="81">
        <f ca="1">IF(Data!I465&lt;&gt;"",DATEDIF(Data!I465,C465,"m"),0)</f>
        <v>105</v>
      </c>
      <c r="E465" s="82">
        <f t="shared" ca="1" si="16"/>
        <v>8.75</v>
      </c>
      <c r="I465" s="81" t="str">
        <f>CONCATENATE(Data!M465,"-",Data!L465)</f>
        <v>CD-VA</v>
      </c>
      <c r="N465" s="81">
        <f>IF(Data!P465,DATEDIF(Data!O465,Data!P465,"d"),0)</f>
        <v>5</v>
      </c>
      <c r="O465" s="81">
        <f>IF(Data!M465="CD",1,0)</f>
        <v>1</v>
      </c>
      <c r="P465" s="81">
        <f>IF(Data!M465="CD",0,1)</f>
        <v>0</v>
      </c>
      <c r="Q465" s="81">
        <f>IF(Data!Q465&gt;Data!P465,DATEDIF(Data!P465,Data!Q465,"d"),0)</f>
        <v>1</v>
      </c>
      <c r="R465" s="81">
        <f>IF(Data!R465&gt;Data!Q465,DATEDIF(Data!Q465,Data!R465,"d"),0)</f>
        <v>18</v>
      </c>
      <c r="X465"/>
      <c r="Y465"/>
      <c r="Z465"/>
    </row>
    <row r="466" spans="2:26" ht="16" x14ac:dyDescent="0.2">
      <c r="B466" s="45"/>
      <c r="C466" s="80">
        <f t="shared" ca="1" si="15"/>
        <v>45959</v>
      </c>
      <c r="D466" s="81">
        <f ca="1">IF(Data!I466&lt;&gt;"",DATEDIF(Data!I466,C466,"m"),0)</f>
        <v>196</v>
      </c>
      <c r="E466" s="82">
        <f t="shared" ca="1" si="16"/>
        <v>16.333333333333332</v>
      </c>
      <c r="I466" s="81" t="str">
        <f>CONCATENATE(Data!M466,"-",Data!L466)</f>
        <v>CD-VA</v>
      </c>
      <c r="N466" s="81">
        <f>IF(Data!P466,DATEDIF(Data!O466,Data!P466,"d"),0)</f>
        <v>5</v>
      </c>
      <c r="O466" s="81">
        <f>IF(Data!M466="CD",1,0)</f>
        <v>1</v>
      </c>
      <c r="P466" s="81">
        <f>IF(Data!M466="CD",0,1)</f>
        <v>0</v>
      </c>
      <c r="Q466" s="81">
        <f>IF(Data!Q466&gt;Data!P466,DATEDIF(Data!P466,Data!Q466,"d"),0)</f>
        <v>19</v>
      </c>
      <c r="R466" s="81">
        <f>IF(Data!R466&gt;Data!Q466,DATEDIF(Data!Q466,Data!R466,"d"),0)</f>
        <v>14</v>
      </c>
      <c r="X466"/>
      <c r="Y466"/>
      <c r="Z466"/>
    </row>
    <row r="467" spans="2:26" ht="16" x14ac:dyDescent="0.2">
      <c r="B467" s="45"/>
      <c r="C467" s="80">
        <f t="shared" ca="1" si="15"/>
        <v>45959</v>
      </c>
      <c r="D467" s="81">
        <f ca="1">IF(Data!I467&lt;&gt;"",DATEDIF(Data!I467,C467,"m"),0)</f>
        <v>91</v>
      </c>
      <c r="E467" s="82">
        <f t="shared" ca="1" si="16"/>
        <v>7.583333333333333</v>
      </c>
      <c r="I467" s="81" t="str">
        <f>CONCATENATE(Data!M467,"-",Data!L467)</f>
        <v>CD-BA</v>
      </c>
      <c r="N467" s="81">
        <f>IF(Data!P467,DATEDIF(Data!O467,Data!P467,"d"),0)</f>
        <v>0</v>
      </c>
      <c r="O467" s="81">
        <f>IF(Data!M467="CD",1,0)</f>
        <v>1</v>
      </c>
      <c r="P467" s="81">
        <f>IF(Data!M467="CD",0,1)</f>
        <v>0</v>
      </c>
      <c r="Q467" s="81">
        <f>IF(Data!Q467&gt;Data!P467,DATEDIF(Data!P467,Data!Q467,"d"),0)</f>
        <v>1</v>
      </c>
      <c r="R467" s="81">
        <f>IF(Data!R467&gt;Data!Q467,DATEDIF(Data!Q467,Data!R467,"d"),0)</f>
        <v>31</v>
      </c>
      <c r="X467"/>
      <c r="Y467"/>
      <c r="Z467"/>
    </row>
    <row r="468" spans="2:26" ht="16" x14ac:dyDescent="0.2">
      <c r="B468" s="45"/>
      <c r="C468" s="80">
        <f t="shared" ca="1" si="15"/>
        <v>45959</v>
      </c>
      <c r="D468" s="81">
        <f>IF(Data!I468&lt;&gt;"",DATEDIF(Data!I468,C468,"m"),0)</f>
        <v>0</v>
      </c>
      <c r="E468" s="82">
        <f t="shared" si="16"/>
        <v>0</v>
      </c>
      <c r="I468" s="81" t="str">
        <f>CONCATENATE(Data!M468,"-",Data!L468)</f>
        <v>CI-BA</v>
      </c>
      <c r="N468" s="81">
        <f>IF(Data!P468,DATEDIF(Data!O468,Data!P468,"d"),0)</f>
        <v>0</v>
      </c>
      <c r="O468" s="81">
        <f>IF(Data!M468="CD",1,0)</f>
        <v>0</v>
      </c>
      <c r="P468" s="81">
        <f>IF(Data!M468="CD",0,1)</f>
        <v>1</v>
      </c>
      <c r="Q468" s="81">
        <f>IF(Data!Q468&gt;Data!P468,DATEDIF(Data!P468,Data!Q468,"d"),0)</f>
        <v>3</v>
      </c>
      <c r="R468" s="81">
        <f>IF(Data!R468&gt;Data!Q468,DATEDIF(Data!Q468,Data!R468,"d"),0)</f>
        <v>22</v>
      </c>
      <c r="X468"/>
      <c r="Y468"/>
      <c r="Z468"/>
    </row>
    <row r="469" spans="2:26" ht="16" x14ac:dyDescent="0.2">
      <c r="B469" s="45"/>
      <c r="C469" s="80">
        <f t="shared" ca="1" si="15"/>
        <v>45959</v>
      </c>
      <c r="D469" s="81">
        <f ca="1">IF(Data!I469&lt;&gt;"",DATEDIF(Data!I469,C469,"m"),0)</f>
        <v>76</v>
      </c>
      <c r="E469" s="82">
        <f t="shared" ca="1" si="16"/>
        <v>6.333333333333333</v>
      </c>
      <c r="I469" s="81" t="str">
        <f>CONCATENATE(Data!M469,"-",Data!L469)</f>
        <v>CD-VA</v>
      </c>
      <c r="N469" s="81">
        <f>IF(Data!P469,DATEDIF(Data!O469,Data!P469,"d"),0)</f>
        <v>1</v>
      </c>
      <c r="O469" s="81">
        <f>IF(Data!M469="CD",1,0)</f>
        <v>1</v>
      </c>
      <c r="P469" s="81">
        <f>IF(Data!M469="CD",0,1)</f>
        <v>0</v>
      </c>
      <c r="Q469" s="81">
        <f>IF(Data!Q469&gt;Data!P469,DATEDIF(Data!P469,Data!Q469,"d"),0)</f>
        <v>1</v>
      </c>
      <c r="R469" s="81">
        <f>IF(Data!R469&gt;Data!Q469,DATEDIF(Data!Q469,Data!R469,"d"),0)</f>
        <v>28</v>
      </c>
      <c r="X469"/>
      <c r="Y469"/>
      <c r="Z469"/>
    </row>
    <row r="470" spans="2:26" ht="16" x14ac:dyDescent="0.2">
      <c r="B470" s="45"/>
      <c r="C470" s="80">
        <f t="shared" ca="1" si="15"/>
        <v>45959</v>
      </c>
      <c r="D470" s="81">
        <f ca="1">IF(Data!I470&lt;&gt;"",DATEDIF(Data!I470,C470,"m"),0)</f>
        <v>73</v>
      </c>
      <c r="E470" s="82">
        <f t="shared" ca="1" si="16"/>
        <v>6.083333333333333</v>
      </c>
      <c r="I470" s="81" t="str">
        <f>CONCATENATE(Data!M470,"-",Data!L470)</f>
        <v>CD-BA</v>
      </c>
      <c r="N470" s="81">
        <f>IF(Data!P470,DATEDIF(Data!O470,Data!P470,"d"),0)</f>
        <v>0</v>
      </c>
      <c r="O470" s="81">
        <f>IF(Data!M470="CD",1,0)</f>
        <v>1</v>
      </c>
      <c r="P470" s="81">
        <f>IF(Data!M470="CD",0,1)</f>
        <v>0</v>
      </c>
      <c r="Q470" s="81">
        <f>IF(Data!Q470&gt;Data!P470,DATEDIF(Data!P470,Data!Q470,"d"),0)</f>
        <v>2</v>
      </c>
      <c r="R470" s="81">
        <f>IF(Data!R470&gt;Data!Q470,DATEDIF(Data!Q470,Data!R470,"d"),0)</f>
        <v>32</v>
      </c>
      <c r="X470"/>
      <c r="Y470"/>
      <c r="Z470"/>
    </row>
    <row r="471" spans="2:26" ht="16" x14ac:dyDescent="0.2">
      <c r="B471" s="45"/>
      <c r="C471" s="80">
        <f t="shared" ca="1" si="15"/>
        <v>45959</v>
      </c>
      <c r="D471" s="81">
        <f ca="1">IF(Data!I471&lt;&gt;"",DATEDIF(Data!I471,C471,"m"),0)</f>
        <v>73</v>
      </c>
      <c r="E471" s="82">
        <f t="shared" ca="1" si="16"/>
        <v>6.083333333333333</v>
      </c>
      <c r="I471" s="81" t="str">
        <f>CONCATENATE(Data!M471,"-",Data!L471)</f>
        <v>CD-BA</v>
      </c>
      <c r="N471" s="81">
        <f>IF(Data!P471,DATEDIF(Data!O471,Data!P471,"d"),0)</f>
        <v>0</v>
      </c>
      <c r="O471" s="81">
        <f>IF(Data!M471="CD",1,0)</f>
        <v>1</v>
      </c>
      <c r="P471" s="81">
        <f>IF(Data!M471="CD",0,1)</f>
        <v>0</v>
      </c>
      <c r="Q471" s="81">
        <f>IF(Data!Q471&gt;Data!P471,DATEDIF(Data!P471,Data!Q471,"d"),0)</f>
        <v>2</v>
      </c>
      <c r="R471" s="81">
        <f>IF(Data!R471&gt;Data!Q471,DATEDIF(Data!Q471,Data!R471,"d"),0)</f>
        <v>27</v>
      </c>
      <c r="X471"/>
      <c r="Y471"/>
      <c r="Z471"/>
    </row>
    <row r="472" spans="2:26" ht="16" x14ac:dyDescent="0.2">
      <c r="B472" s="45"/>
      <c r="C472" s="80">
        <f t="shared" ca="1" si="15"/>
        <v>45959</v>
      </c>
      <c r="D472" s="81">
        <f>IF(Data!I472&lt;&gt;"",DATEDIF(Data!I472,C472,"m"),0)</f>
        <v>0</v>
      </c>
      <c r="E472" s="82">
        <f t="shared" si="16"/>
        <v>0</v>
      </c>
      <c r="I472" s="81" t="str">
        <f>CONCATENATE(Data!M472,"-",Data!L472)</f>
        <v>CD-GE</v>
      </c>
      <c r="N472" s="81">
        <f>IF(Data!P472,DATEDIF(Data!O472,Data!P472,"d"),0)</f>
        <v>7</v>
      </c>
      <c r="O472" s="81">
        <f>IF(Data!M472="CD",1,0)</f>
        <v>1</v>
      </c>
      <c r="P472" s="81">
        <f>IF(Data!M472="CD",0,1)</f>
        <v>0</v>
      </c>
      <c r="Q472" s="81">
        <f>IF(Data!Q472&gt;Data!P472,DATEDIF(Data!P472,Data!Q472,"d"),0)</f>
        <v>2</v>
      </c>
      <c r="R472" s="81">
        <f>IF(Data!R472&gt;Data!Q472,DATEDIF(Data!Q472,Data!R472,"d"),0)</f>
        <v>28</v>
      </c>
      <c r="X472"/>
      <c r="Y472"/>
      <c r="Z472"/>
    </row>
    <row r="473" spans="2:26" ht="16" x14ac:dyDescent="0.2">
      <c r="B473" s="45"/>
      <c r="C473" s="80">
        <f t="shared" ca="1" si="15"/>
        <v>45959</v>
      </c>
      <c r="D473" s="81">
        <f ca="1">IF(Data!I473&lt;&gt;"",DATEDIF(Data!I473,C473,"m"),0)</f>
        <v>66</v>
      </c>
      <c r="E473" s="82">
        <f t="shared" ca="1" si="16"/>
        <v>5.5</v>
      </c>
      <c r="I473" s="81" t="str">
        <f>CONCATENATE(Data!M473,"-",Data!L473)</f>
        <v>CD-GE</v>
      </c>
      <c r="N473" s="81">
        <f>IF(Data!P473,DATEDIF(Data!O473,Data!P473,"d"),0)</f>
        <v>1</v>
      </c>
      <c r="O473" s="81">
        <f>IF(Data!M473="CD",1,0)</f>
        <v>1</v>
      </c>
      <c r="P473" s="81">
        <f>IF(Data!M473="CD",0,1)</f>
        <v>0</v>
      </c>
      <c r="Q473" s="81">
        <f>IF(Data!Q473&gt;Data!P473,DATEDIF(Data!P473,Data!Q473,"d"),0)</f>
        <v>0</v>
      </c>
      <c r="R473" s="81">
        <f>IF(Data!R473&gt;Data!Q473,DATEDIF(Data!Q473,Data!R473,"d"),0)</f>
        <v>9</v>
      </c>
      <c r="X473"/>
      <c r="Y473"/>
      <c r="Z473"/>
    </row>
    <row r="474" spans="2:26" ht="16" x14ac:dyDescent="0.2">
      <c r="B474" s="45"/>
      <c r="C474" s="80">
        <f t="shared" ca="1" si="15"/>
        <v>45959</v>
      </c>
      <c r="D474" s="81">
        <f ca="1">IF(Data!I474&lt;&gt;"",DATEDIF(Data!I474,C474,"m"),0)</f>
        <v>66</v>
      </c>
      <c r="E474" s="82">
        <f t="shared" ca="1" si="16"/>
        <v>5.5</v>
      </c>
      <c r="I474" s="81" t="str">
        <f>CONCATENATE(Data!M474,"-",Data!L474)</f>
        <v>CD-GE</v>
      </c>
      <c r="N474" s="81">
        <f>IF(Data!P474,DATEDIF(Data!O474,Data!P474,"d"),0)</f>
        <v>1</v>
      </c>
      <c r="O474" s="81">
        <f>IF(Data!M474="CD",1,0)</f>
        <v>1</v>
      </c>
      <c r="P474" s="81">
        <f>IF(Data!M474="CD",0,1)</f>
        <v>0</v>
      </c>
      <c r="Q474" s="81">
        <f>IF(Data!Q474&gt;Data!P474,DATEDIF(Data!P474,Data!Q474,"d"),0)</f>
        <v>0</v>
      </c>
      <c r="R474" s="81">
        <f>IF(Data!R474&gt;Data!Q474,DATEDIF(Data!Q474,Data!R474,"d"),0)</f>
        <v>65</v>
      </c>
      <c r="X474"/>
      <c r="Y474"/>
      <c r="Z474"/>
    </row>
    <row r="475" spans="2:26" ht="16" x14ac:dyDescent="0.2">
      <c r="B475" s="45"/>
      <c r="C475" s="80">
        <f t="shared" ca="1" si="15"/>
        <v>45959</v>
      </c>
      <c r="D475" s="81">
        <f ca="1">IF(Data!I475&lt;&gt;"",DATEDIF(Data!I475,C475,"m"),0)</f>
        <v>94</v>
      </c>
      <c r="E475" s="82">
        <f t="shared" ca="1" si="16"/>
        <v>7.833333333333333</v>
      </c>
      <c r="I475" s="81" t="str">
        <f>CONCATENATE(Data!M475,"-",Data!L475)</f>
        <v>CD-BA</v>
      </c>
      <c r="N475" s="81">
        <f>IF(Data!P475,DATEDIF(Data!O475,Data!P475,"d"),0)</f>
        <v>1</v>
      </c>
      <c r="O475" s="81">
        <f>IF(Data!M475="CD",1,0)</f>
        <v>1</v>
      </c>
      <c r="P475" s="81">
        <f>IF(Data!M475="CD",0,1)</f>
        <v>0</v>
      </c>
      <c r="Q475" s="81">
        <f>IF(Data!Q475&gt;Data!P475,DATEDIF(Data!P475,Data!Q475,"d"),0)</f>
        <v>2</v>
      </c>
      <c r="R475" s="81">
        <f>IF(Data!R475&gt;Data!Q475,DATEDIF(Data!Q475,Data!R475,"d"),0)</f>
        <v>6</v>
      </c>
      <c r="X475"/>
      <c r="Y475"/>
      <c r="Z475"/>
    </row>
    <row r="476" spans="2:26" ht="16" x14ac:dyDescent="0.2">
      <c r="B476" s="45"/>
      <c r="C476" s="80">
        <f t="shared" ca="1" si="15"/>
        <v>45959</v>
      </c>
      <c r="D476" s="81">
        <f ca="1">IF(Data!I476&lt;&gt;"",DATEDIF(Data!I476,C476,"m"),0)</f>
        <v>157</v>
      </c>
      <c r="E476" s="82">
        <f t="shared" ca="1" si="16"/>
        <v>13.083333333333334</v>
      </c>
      <c r="I476" s="81" t="str">
        <f>CONCATENATE(Data!M476,"-",Data!L476)</f>
        <v>CD-GE</v>
      </c>
      <c r="N476" s="81">
        <f>IF(Data!P476,DATEDIF(Data!O476,Data!P476,"d"),0)</f>
        <v>3</v>
      </c>
      <c r="O476" s="81">
        <f>IF(Data!M476="CD",1,0)</f>
        <v>1</v>
      </c>
      <c r="P476" s="81">
        <f>IF(Data!M476="CD",0,1)</f>
        <v>0</v>
      </c>
      <c r="Q476" s="81">
        <f>IF(Data!Q476&gt;Data!P476,DATEDIF(Data!P476,Data!Q476,"d"),0)</f>
        <v>1</v>
      </c>
      <c r="R476" s="81">
        <f>IF(Data!R476&gt;Data!Q476,DATEDIF(Data!Q476,Data!R476,"d"),0)</f>
        <v>30</v>
      </c>
      <c r="X476"/>
      <c r="Y476"/>
      <c r="Z476"/>
    </row>
    <row r="477" spans="2:26" ht="16" x14ac:dyDescent="0.2">
      <c r="B477" s="45"/>
      <c r="C477" s="80">
        <f t="shared" ca="1" si="15"/>
        <v>45959</v>
      </c>
      <c r="D477" s="81">
        <f>IF(Data!I477&lt;&gt;"",DATEDIF(Data!I477,C477,"m"),0)</f>
        <v>0</v>
      </c>
      <c r="E477" s="82">
        <f t="shared" si="16"/>
        <v>0</v>
      </c>
      <c r="I477" s="81" t="str">
        <f>CONCATENATE(Data!M477,"-",Data!L477)</f>
        <v>ML-GE</v>
      </c>
      <c r="N477" s="81">
        <f>IF(Data!P477,DATEDIF(Data!O477,Data!P477,"d"),0)</f>
        <v>3</v>
      </c>
      <c r="O477" s="81">
        <f>IF(Data!M477="CD",1,0)</f>
        <v>0</v>
      </c>
      <c r="P477" s="81">
        <f>IF(Data!M477="CD",0,1)</f>
        <v>1</v>
      </c>
      <c r="Q477" s="81">
        <f>IF(Data!Q477&gt;Data!P477,DATEDIF(Data!P477,Data!Q477,"d"),0)</f>
        <v>0</v>
      </c>
      <c r="R477" s="81">
        <f>IF(Data!R477&gt;Data!Q477,DATEDIF(Data!Q477,Data!R477,"d"),0)</f>
        <v>4</v>
      </c>
      <c r="X477"/>
      <c r="Y477"/>
      <c r="Z477"/>
    </row>
    <row r="478" spans="2:26" ht="16" x14ac:dyDescent="0.2">
      <c r="B478" s="45"/>
      <c r="C478" s="80">
        <f t="shared" ca="1" si="15"/>
        <v>45959</v>
      </c>
      <c r="D478" s="81">
        <f ca="1">IF(Data!I478&lt;&gt;"",DATEDIF(Data!I478,C478,"m"),0)</f>
        <v>85</v>
      </c>
      <c r="E478" s="82">
        <f t="shared" ca="1" si="16"/>
        <v>7.083333333333333</v>
      </c>
      <c r="I478" s="81" t="str">
        <f>CONCATENATE(Data!M478,"-",Data!L478)</f>
        <v>CI-GE</v>
      </c>
      <c r="N478" s="81">
        <f>IF(Data!P478,DATEDIF(Data!O478,Data!P478,"d"),0)</f>
        <v>49</v>
      </c>
      <c r="O478" s="81">
        <f>IF(Data!M478="CD",1,0)</f>
        <v>0</v>
      </c>
      <c r="P478" s="81">
        <f>IF(Data!M478="CD",0,1)</f>
        <v>1</v>
      </c>
      <c r="Q478" s="81">
        <f>IF(Data!Q478&gt;Data!P478,DATEDIF(Data!P478,Data!Q478,"d"),0)</f>
        <v>3</v>
      </c>
      <c r="R478" s="81">
        <f>IF(Data!R478&gt;Data!Q478,DATEDIF(Data!Q478,Data!R478,"d"),0)</f>
        <v>11</v>
      </c>
      <c r="X478"/>
      <c r="Y478"/>
      <c r="Z478"/>
    </row>
    <row r="479" spans="2:26" ht="16" x14ac:dyDescent="0.2">
      <c r="B479" s="45"/>
      <c r="C479" s="80">
        <f t="shared" ca="1" si="15"/>
        <v>45959</v>
      </c>
      <c r="D479" s="81">
        <f ca="1">IF(Data!I479&lt;&gt;"",DATEDIF(Data!I479,C479,"m"),0)</f>
        <v>13</v>
      </c>
      <c r="E479" s="82">
        <f t="shared" ca="1" si="16"/>
        <v>1.0833333333333333</v>
      </c>
      <c r="I479" s="81" t="str">
        <f>CONCATENATE(Data!M479,"-",Data!L479)</f>
        <v>CD-GE</v>
      </c>
      <c r="N479" s="81">
        <f>IF(Data!P479,DATEDIF(Data!O479,Data!P479,"d"),0)</f>
        <v>91</v>
      </c>
      <c r="O479" s="81">
        <f>IF(Data!M479="CD",1,0)</f>
        <v>1</v>
      </c>
      <c r="P479" s="81">
        <f>IF(Data!M479="CD",0,1)</f>
        <v>0</v>
      </c>
      <c r="Q479" s="81">
        <f>IF(Data!Q479&gt;Data!P479,DATEDIF(Data!P479,Data!Q479,"d"),0)</f>
        <v>0</v>
      </c>
      <c r="R479" s="81">
        <f>IF(Data!R479&gt;Data!Q479,DATEDIF(Data!Q479,Data!R479,"d"),0)</f>
        <v>0</v>
      </c>
      <c r="X479"/>
      <c r="Y479"/>
      <c r="Z479"/>
    </row>
    <row r="480" spans="2:26" ht="16" x14ac:dyDescent="0.2">
      <c r="B480" s="45"/>
      <c r="C480" s="80">
        <f t="shared" ca="1" si="15"/>
        <v>45959</v>
      </c>
      <c r="D480" s="81">
        <f>IF(Data!I480&lt;&gt;"",DATEDIF(Data!I480,C480,"m"),0)</f>
        <v>0</v>
      </c>
      <c r="E480" s="82">
        <f t="shared" si="16"/>
        <v>0</v>
      </c>
      <c r="I480" s="81" t="str">
        <f>CONCATENATE(Data!M480,"-",Data!L480)</f>
        <v>CD-GE</v>
      </c>
      <c r="N480" s="81">
        <f>IF(Data!P480,DATEDIF(Data!O480,Data!P480,"d"),0)</f>
        <v>0</v>
      </c>
      <c r="O480" s="81">
        <f>IF(Data!M480="CD",1,0)</f>
        <v>1</v>
      </c>
      <c r="P480" s="81">
        <f>IF(Data!M480="CD",0,1)</f>
        <v>0</v>
      </c>
      <c r="Q480" s="81">
        <f>IF(Data!Q480&gt;Data!P480,DATEDIF(Data!P480,Data!Q480,"d"),0)</f>
        <v>1</v>
      </c>
      <c r="R480" s="81">
        <f>IF(Data!R480&gt;Data!Q480,DATEDIF(Data!Q480,Data!R480,"d"),0)</f>
        <v>13</v>
      </c>
      <c r="X480"/>
      <c r="Y480"/>
      <c r="Z480"/>
    </row>
    <row r="481" spans="2:26" ht="16" x14ac:dyDescent="0.2">
      <c r="B481" s="45"/>
      <c r="C481" s="80">
        <f t="shared" ca="1" si="15"/>
        <v>45959</v>
      </c>
      <c r="D481" s="81">
        <f ca="1">IF(Data!I481&lt;&gt;"",DATEDIF(Data!I481,C481,"m"),0)</f>
        <v>12</v>
      </c>
      <c r="E481" s="82">
        <f t="shared" ca="1" si="16"/>
        <v>1</v>
      </c>
      <c r="I481" s="81" t="str">
        <f>CONCATENATE(Data!M481,"-",Data!L481)</f>
        <v>CD-VA</v>
      </c>
      <c r="N481" s="81">
        <f>IF(Data!P481,DATEDIF(Data!O481,Data!P481,"d"),0)</f>
        <v>0</v>
      </c>
      <c r="O481" s="81">
        <f>IF(Data!M481="CD",1,0)</f>
        <v>1</v>
      </c>
      <c r="P481" s="81">
        <f>IF(Data!M481="CD",0,1)</f>
        <v>0</v>
      </c>
      <c r="Q481" s="81">
        <f>IF(Data!Q481&gt;Data!P481,DATEDIF(Data!P481,Data!Q481,"d"),0)</f>
        <v>9</v>
      </c>
      <c r="R481" s="81">
        <f>IF(Data!R481&gt;Data!Q481,DATEDIF(Data!Q481,Data!R481,"d"),0)</f>
        <v>0</v>
      </c>
      <c r="X481"/>
      <c r="Y481"/>
      <c r="Z481"/>
    </row>
    <row r="482" spans="2:26" ht="16" x14ac:dyDescent="0.2">
      <c r="B482" s="45"/>
      <c r="C482" s="80">
        <f t="shared" ca="1" si="15"/>
        <v>45959</v>
      </c>
      <c r="D482" s="81">
        <f ca="1">IF(Data!I482&lt;&gt;"",DATEDIF(Data!I482,C482,"m"),0)</f>
        <v>30</v>
      </c>
      <c r="E482" s="82">
        <f t="shared" ca="1" si="16"/>
        <v>2.5</v>
      </c>
      <c r="I482" s="81" t="str">
        <f>CONCATENATE(Data!M482,"-",Data!L482)</f>
        <v>CD-BA</v>
      </c>
      <c r="N482" s="81">
        <f>IF(Data!P482,DATEDIF(Data!O482,Data!P482,"d"),0)</f>
        <v>1</v>
      </c>
      <c r="O482" s="81">
        <f>IF(Data!M482="CD",1,0)</f>
        <v>1</v>
      </c>
      <c r="P482" s="81">
        <f>IF(Data!M482="CD",0,1)</f>
        <v>0</v>
      </c>
      <c r="Q482" s="81">
        <f>IF(Data!Q482&gt;Data!P482,DATEDIF(Data!P482,Data!Q482,"d"),0)</f>
        <v>1</v>
      </c>
      <c r="R482" s="81">
        <f>IF(Data!R482&gt;Data!Q482,DATEDIF(Data!Q482,Data!R482,"d"),0)</f>
        <v>10</v>
      </c>
      <c r="X482"/>
      <c r="Y482"/>
      <c r="Z482"/>
    </row>
    <row r="483" spans="2:26" ht="16" x14ac:dyDescent="0.2">
      <c r="B483" s="45"/>
      <c r="C483" s="80">
        <f t="shared" ca="1" si="15"/>
        <v>45959</v>
      </c>
      <c r="D483" s="81">
        <f ca="1">IF(Data!I483&lt;&gt;"",DATEDIF(Data!I483,C483,"m"),0)</f>
        <v>162</v>
      </c>
      <c r="E483" s="82">
        <f t="shared" ca="1" si="16"/>
        <v>13.5</v>
      </c>
      <c r="I483" s="81" t="str">
        <f>CONCATENATE(Data!M483,"-",Data!L483)</f>
        <v>CD-GE</v>
      </c>
      <c r="N483" s="81">
        <f>IF(Data!P483,DATEDIF(Data!O483,Data!P483,"d"),0)</f>
        <v>1</v>
      </c>
      <c r="O483" s="81">
        <f>IF(Data!M483="CD",1,0)</f>
        <v>1</v>
      </c>
      <c r="P483" s="81">
        <f>IF(Data!M483="CD",0,1)</f>
        <v>0</v>
      </c>
      <c r="Q483" s="81">
        <f>IF(Data!Q483&gt;Data!P483,DATEDIF(Data!P483,Data!Q483,"d"),0)</f>
        <v>4</v>
      </c>
      <c r="R483" s="81">
        <f>IF(Data!R483&gt;Data!Q483,DATEDIF(Data!Q483,Data!R483,"d"),0)</f>
        <v>10</v>
      </c>
      <c r="X483"/>
      <c r="Y483"/>
      <c r="Z483"/>
    </row>
    <row r="484" spans="2:26" ht="16" x14ac:dyDescent="0.2">
      <c r="B484" s="45"/>
      <c r="C484" s="80">
        <f t="shared" ca="1" si="15"/>
        <v>45959</v>
      </c>
      <c r="D484" s="81">
        <f ca="1">IF(Data!I484&lt;&gt;"",DATEDIF(Data!I484,C484,"m"),0)</f>
        <v>196</v>
      </c>
      <c r="E484" s="82">
        <f t="shared" ref="E484:E496" ca="1" si="17">D484/12</f>
        <v>16.333333333333332</v>
      </c>
      <c r="I484" s="81" t="str">
        <f>CONCATENATE(Data!M484,"-",Data!L484)</f>
        <v>CD-GE</v>
      </c>
      <c r="N484" s="81">
        <f>IF(Data!P484,DATEDIF(Data!O484,Data!P484,"d"),0)</f>
        <v>1</v>
      </c>
      <c r="O484" s="81">
        <f>IF(Data!M484="CD",1,0)</f>
        <v>1</v>
      </c>
      <c r="P484" s="81">
        <f>IF(Data!M484="CD",0,1)</f>
        <v>0</v>
      </c>
      <c r="Q484" s="81">
        <f>IF(Data!Q484&gt;Data!P484,DATEDIF(Data!P484,Data!Q484,"d"),0)</f>
        <v>3</v>
      </c>
      <c r="R484" s="81">
        <f>IF(Data!R484&gt;Data!Q484,DATEDIF(Data!Q484,Data!R484,"d"),0)</f>
        <v>6</v>
      </c>
      <c r="X484"/>
      <c r="Y484"/>
      <c r="Z484"/>
    </row>
    <row r="485" spans="2:26" ht="16" x14ac:dyDescent="0.2">
      <c r="B485" s="45"/>
      <c r="C485" s="80">
        <f t="shared" ca="1" si="15"/>
        <v>45959</v>
      </c>
      <c r="D485" s="81">
        <f ca="1">IF(Data!I485&lt;&gt;"",DATEDIF(Data!I485,C485,"m"),0)</f>
        <v>134</v>
      </c>
      <c r="E485" s="82">
        <f t="shared" ca="1" si="17"/>
        <v>11.166666666666666</v>
      </c>
      <c r="I485" s="81" t="str">
        <f>CONCATENATE(Data!M485,"-",Data!L485)</f>
        <v>CD-GE</v>
      </c>
      <c r="N485" s="81">
        <f>IF(Data!P485,DATEDIF(Data!O485,Data!P485,"d"),0)</f>
        <v>5</v>
      </c>
      <c r="O485" s="81">
        <f>IF(Data!M485="CD",1,0)</f>
        <v>1</v>
      </c>
      <c r="P485" s="81">
        <f>IF(Data!M485="CD",0,1)</f>
        <v>0</v>
      </c>
      <c r="Q485" s="81">
        <f>IF(Data!Q485&gt;Data!P485,DATEDIF(Data!P485,Data!Q485,"d"),0)</f>
        <v>5</v>
      </c>
      <c r="R485" s="81">
        <f>IF(Data!R485&gt;Data!Q485,DATEDIF(Data!Q485,Data!R485,"d"),0)</f>
        <v>3</v>
      </c>
      <c r="X485"/>
      <c r="Y485"/>
      <c r="Z485"/>
    </row>
    <row r="486" spans="2:26" ht="16" x14ac:dyDescent="0.2">
      <c r="B486" s="45"/>
      <c r="C486" s="80">
        <f t="shared" ca="1" si="15"/>
        <v>45959</v>
      </c>
      <c r="D486" s="81">
        <f ca="1">IF(Data!I486&lt;&gt;"",DATEDIF(Data!I486,C486,"m"),0)</f>
        <v>26</v>
      </c>
      <c r="E486" s="82">
        <f t="shared" ca="1" si="17"/>
        <v>2.1666666666666665</v>
      </c>
      <c r="I486" s="81" t="str">
        <f>CONCATENATE(Data!M486,"-",Data!L486)</f>
        <v>CD-CH</v>
      </c>
      <c r="N486" s="81">
        <f>IF(Data!P486,DATEDIF(Data!O486,Data!P486,"d"),0)</f>
        <v>0</v>
      </c>
      <c r="O486" s="81">
        <f>IF(Data!M486="CD",1,0)</f>
        <v>1</v>
      </c>
      <c r="P486" s="81">
        <f>IF(Data!M486="CD",0,1)</f>
        <v>0</v>
      </c>
      <c r="Q486" s="81">
        <f>IF(Data!Q486&gt;Data!P486,DATEDIF(Data!P486,Data!Q486,"d"),0)</f>
        <v>0</v>
      </c>
      <c r="R486" s="81">
        <f>IF(Data!R486&gt;Data!Q486,DATEDIF(Data!Q486,Data!R486,"d"),0)</f>
        <v>5</v>
      </c>
      <c r="X486"/>
      <c r="Y486"/>
      <c r="Z486"/>
    </row>
    <row r="487" spans="2:26" ht="16" x14ac:dyDescent="0.2">
      <c r="B487" s="45"/>
      <c r="C487" s="80">
        <f t="shared" ca="1" si="15"/>
        <v>45959</v>
      </c>
      <c r="D487" s="81">
        <f>IF(Data!I487&lt;&gt;"",DATEDIF(Data!I487,C487,"m"),0)</f>
        <v>0</v>
      </c>
      <c r="E487" s="82">
        <f t="shared" si="17"/>
        <v>0</v>
      </c>
      <c r="I487" s="81" t="str">
        <f>CONCATENATE(Data!M487,"-",Data!L487)</f>
        <v>CD-CH</v>
      </c>
      <c r="N487" s="81">
        <f>IF(Data!P487,DATEDIF(Data!O487,Data!P487,"d"),0)</f>
        <v>1</v>
      </c>
      <c r="O487" s="81">
        <f>IF(Data!M487="CD",1,0)</f>
        <v>1</v>
      </c>
      <c r="P487" s="81">
        <f>IF(Data!M487="CD",0,1)</f>
        <v>0</v>
      </c>
      <c r="Q487" s="81">
        <f>IF(Data!Q487&gt;Data!P487,DATEDIF(Data!P487,Data!Q487,"d"),0)</f>
        <v>0</v>
      </c>
      <c r="R487" s="81">
        <f>IF(Data!R487&gt;Data!Q487,DATEDIF(Data!Q487,Data!R487,"d"),0)</f>
        <v>6</v>
      </c>
      <c r="X487"/>
      <c r="Y487"/>
      <c r="Z487"/>
    </row>
    <row r="488" spans="2:26" ht="16" x14ac:dyDescent="0.2">
      <c r="B488" s="45"/>
      <c r="C488" s="80">
        <f t="shared" ca="1" si="15"/>
        <v>45959</v>
      </c>
      <c r="D488" s="81">
        <f ca="1">IF(Data!I488&lt;&gt;"",DATEDIF(Data!I488,C488,"m"),0)</f>
        <v>165</v>
      </c>
      <c r="E488" s="82">
        <f t="shared" ca="1" si="17"/>
        <v>13.75</v>
      </c>
      <c r="I488" s="81" t="str">
        <f>CONCATENATE(Data!M488,"-",Data!L488)</f>
        <v>CD-VA</v>
      </c>
      <c r="N488" s="81">
        <f>IF(Data!P488,DATEDIF(Data!O488,Data!P488,"d"),0)</f>
        <v>2</v>
      </c>
      <c r="O488" s="81">
        <f>IF(Data!M488="CD",1,0)</f>
        <v>1</v>
      </c>
      <c r="P488" s="81">
        <f>IF(Data!M488="CD",0,1)</f>
        <v>0</v>
      </c>
      <c r="Q488" s="81">
        <f>IF(Data!Q488&gt;Data!P488,DATEDIF(Data!P488,Data!Q488,"d"),0)</f>
        <v>0</v>
      </c>
      <c r="R488" s="81">
        <f>IF(Data!R488&gt;Data!Q488,DATEDIF(Data!Q488,Data!R488,"d"),0)</f>
        <v>6</v>
      </c>
      <c r="X488"/>
      <c r="Y488"/>
      <c r="Z488"/>
    </row>
    <row r="489" spans="2:26" ht="16" x14ac:dyDescent="0.2">
      <c r="B489" s="45"/>
      <c r="C489" s="80">
        <f t="shared" ca="1" si="15"/>
        <v>45959</v>
      </c>
      <c r="D489" s="81">
        <f ca="1">IF(Data!I489&lt;&gt;"",DATEDIF(Data!I489,C489,"m"),0)</f>
        <v>13</v>
      </c>
      <c r="E489" s="82">
        <f t="shared" ca="1" si="17"/>
        <v>1.0833333333333333</v>
      </c>
      <c r="I489" s="81" t="str">
        <f>CONCATENATE(Data!M489,"-",Data!L489)</f>
        <v>CD-GE</v>
      </c>
      <c r="N489" s="81">
        <f>IF(Data!P489,DATEDIF(Data!O489,Data!P489,"d"),0)</f>
        <v>21</v>
      </c>
      <c r="O489" s="81">
        <f>IF(Data!M489="CD",1,0)</f>
        <v>1</v>
      </c>
      <c r="P489" s="81">
        <f>IF(Data!M489="CD",0,1)</f>
        <v>0</v>
      </c>
      <c r="Q489" s="81">
        <f>IF(Data!Q489&gt;Data!P489,DATEDIF(Data!P489,Data!Q489,"d"),0)</f>
        <v>0</v>
      </c>
      <c r="R489" s="81">
        <f>IF(Data!R489&gt;Data!Q489,DATEDIF(Data!Q489,Data!R489,"d"),0)</f>
        <v>4</v>
      </c>
      <c r="X489"/>
      <c r="Y489"/>
      <c r="Z489"/>
    </row>
    <row r="490" spans="2:26" ht="16" x14ac:dyDescent="0.2">
      <c r="B490" s="45"/>
      <c r="C490" s="80">
        <f t="shared" ca="1" si="15"/>
        <v>45959</v>
      </c>
      <c r="D490" s="81">
        <f ca="1">IF(Data!I490&lt;&gt;"",DATEDIF(Data!I490,C490,"m"),0)</f>
        <v>69</v>
      </c>
      <c r="E490" s="82">
        <f t="shared" ca="1" si="17"/>
        <v>5.75</v>
      </c>
      <c r="I490" s="81" t="str">
        <f>CONCATENATE(Data!M490,"-",Data!L490)</f>
        <v>CI-BA</v>
      </c>
      <c r="N490" s="81">
        <f>IF(Data!P490,DATEDIF(Data!O490,Data!P490,"d"),0)</f>
        <v>0</v>
      </c>
      <c r="O490" s="81">
        <f>IF(Data!M490="CD",1,0)</f>
        <v>0</v>
      </c>
      <c r="P490" s="81">
        <f>IF(Data!M490="CD",0,1)</f>
        <v>1</v>
      </c>
      <c r="Q490" s="81">
        <f>IF(Data!Q490&gt;Data!P490,DATEDIF(Data!P490,Data!Q490,"d"),0)</f>
        <v>2</v>
      </c>
      <c r="R490" s="81">
        <f>IF(Data!R490&gt;Data!Q490,DATEDIF(Data!Q490,Data!R490,"d"),0)</f>
        <v>10</v>
      </c>
      <c r="X490"/>
      <c r="Y490"/>
      <c r="Z490"/>
    </row>
    <row r="491" spans="2:26" ht="16" x14ac:dyDescent="0.2">
      <c r="B491" s="45"/>
      <c r="C491" s="80">
        <f t="shared" ca="1" si="15"/>
        <v>45959</v>
      </c>
      <c r="D491" s="81">
        <f ca="1">IF(Data!I491&lt;&gt;"",DATEDIF(Data!I491,C491,"m"),0)</f>
        <v>33</v>
      </c>
      <c r="E491" s="82">
        <f t="shared" ca="1" si="17"/>
        <v>2.75</v>
      </c>
      <c r="I491" s="81" t="str">
        <f>CONCATENATE(Data!M491,"-",Data!L491)</f>
        <v>CI-BA</v>
      </c>
      <c r="N491" s="81">
        <f>IF(Data!P491,DATEDIF(Data!O491,Data!P491,"d"),0)</f>
        <v>0</v>
      </c>
      <c r="O491" s="81">
        <f>IF(Data!M491="CD",1,0)</f>
        <v>0</v>
      </c>
      <c r="P491" s="81">
        <f>IF(Data!M491="CD",0,1)</f>
        <v>1</v>
      </c>
      <c r="Q491" s="81">
        <f>IF(Data!Q491&gt;Data!P491,DATEDIF(Data!P491,Data!Q491,"d"),0)</f>
        <v>2</v>
      </c>
      <c r="R491" s="81">
        <f>IF(Data!R491&gt;Data!Q491,DATEDIF(Data!Q491,Data!R491,"d"),0)</f>
        <v>24</v>
      </c>
      <c r="X491"/>
      <c r="Y491"/>
      <c r="Z491"/>
    </row>
    <row r="492" spans="2:26" ht="16" x14ac:dyDescent="0.2">
      <c r="B492" s="45"/>
      <c r="C492" s="80">
        <f t="shared" ca="1" si="15"/>
        <v>45959</v>
      </c>
      <c r="D492" s="81">
        <f ca="1">IF(Data!I492&lt;&gt;"",DATEDIF(Data!I492,C492,"m"),0)</f>
        <v>48</v>
      </c>
      <c r="E492" s="82">
        <f t="shared" ca="1" si="17"/>
        <v>4</v>
      </c>
      <c r="I492" s="81" t="str">
        <f>CONCATENATE(Data!M492,"-",Data!L492)</f>
        <v>CD-GE</v>
      </c>
      <c r="N492" s="81">
        <f>IF(Data!P492,DATEDIF(Data!O492,Data!P492,"d"),0)</f>
        <v>3</v>
      </c>
      <c r="O492" s="81">
        <f>IF(Data!M492="CD",1,0)</f>
        <v>1</v>
      </c>
      <c r="P492" s="81">
        <f>IF(Data!M492="CD",0,1)</f>
        <v>0</v>
      </c>
      <c r="Q492" s="81">
        <f>IF(Data!Q492&gt;Data!P492,DATEDIF(Data!P492,Data!Q492,"d"),0)</f>
        <v>0</v>
      </c>
      <c r="R492" s="81">
        <f>IF(Data!R492&gt;Data!Q492,DATEDIF(Data!Q492,Data!R492,"d"),0)</f>
        <v>11</v>
      </c>
      <c r="X492"/>
      <c r="Y492"/>
      <c r="Z492"/>
    </row>
    <row r="493" spans="2:26" ht="16" x14ac:dyDescent="0.2">
      <c r="B493" s="45"/>
      <c r="C493" s="80">
        <f t="shared" ca="1" si="15"/>
        <v>45959</v>
      </c>
      <c r="D493" s="81">
        <f ca="1">IF(Data!I493&lt;&gt;"",DATEDIF(Data!I493,C493,"m"),0)</f>
        <v>23</v>
      </c>
      <c r="E493" s="82">
        <f t="shared" ca="1" si="17"/>
        <v>1.9166666666666667</v>
      </c>
      <c r="I493" s="81" t="str">
        <f>CONCATENATE(Data!M493,"-",Data!L493)</f>
        <v>CI-GE</v>
      </c>
      <c r="N493" s="81">
        <f>IF(Data!P493,DATEDIF(Data!O493,Data!P493,"d"),0)</f>
        <v>3</v>
      </c>
      <c r="O493" s="81">
        <f>IF(Data!M493="CD",1,0)</f>
        <v>0</v>
      </c>
      <c r="P493" s="81">
        <f>IF(Data!M493="CD",0,1)</f>
        <v>1</v>
      </c>
      <c r="Q493" s="81">
        <f>IF(Data!Q493&gt;Data!P493,DATEDIF(Data!P493,Data!Q493,"d"),0)</f>
        <v>3</v>
      </c>
      <c r="R493" s="81">
        <f>IF(Data!R493&gt;Data!Q493,DATEDIF(Data!Q493,Data!R493,"d"),0)</f>
        <v>4</v>
      </c>
      <c r="X493"/>
      <c r="Y493"/>
      <c r="Z493"/>
    </row>
    <row r="494" spans="2:26" ht="16" x14ac:dyDescent="0.2">
      <c r="B494" s="45"/>
      <c r="C494" s="80">
        <f t="shared" ca="1" si="15"/>
        <v>45959</v>
      </c>
      <c r="D494" s="81">
        <f>IF(Data!I494&lt;&gt;"",DATEDIF(Data!I494,C494,"m"),0)</f>
        <v>0</v>
      </c>
      <c r="E494" s="82">
        <f t="shared" si="17"/>
        <v>0</v>
      </c>
      <c r="I494" s="81" t="str">
        <f>CONCATENATE(Data!M494,"-",Data!L494)</f>
        <v>CD-VA</v>
      </c>
      <c r="N494" s="81">
        <f>IF(Data!P494,DATEDIF(Data!O494,Data!P494,"d"),0)</f>
        <v>1</v>
      </c>
      <c r="O494" s="81">
        <f>IF(Data!M494="CD",1,0)</f>
        <v>1</v>
      </c>
      <c r="P494" s="81">
        <f>IF(Data!M494="CD",0,1)</f>
        <v>0</v>
      </c>
      <c r="Q494" s="81">
        <f>IF(Data!Q494&gt;Data!P494,DATEDIF(Data!P494,Data!Q494,"d"),0)</f>
        <v>0</v>
      </c>
      <c r="R494" s="81">
        <f>IF(Data!R494&gt;Data!Q494,DATEDIF(Data!Q494,Data!R494,"d"),0)</f>
        <v>20</v>
      </c>
      <c r="X494"/>
      <c r="Y494"/>
      <c r="Z494"/>
    </row>
    <row r="495" spans="2:26" ht="16" x14ac:dyDescent="0.2">
      <c r="B495" s="45"/>
      <c r="C495" s="80">
        <f t="shared" ca="1" si="15"/>
        <v>45959</v>
      </c>
      <c r="D495" s="81">
        <f>IF(Data!I495&lt;&gt;"",DATEDIF(Data!I495,C495,"m"),0)</f>
        <v>0</v>
      </c>
      <c r="E495" s="82">
        <f t="shared" si="17"/>
        <v>0</v>
      </c>
      <c r="I495" s="81" t="str">
        <f>CONCATENATE(Data!M495,"-",Data!L495)</f>
        <v>CD-BA</v>
      </c>
      <c r="N495" s="81">
        <f>IF(Data!P495,DATEDIF(Data!O495,Data!P495,"d"),0)</f>
        <v>1</v>
      </c>
      <c r="O495" s="81">
        <f>IF(Data!M495="CD",1,0)</f>
        <v>1</v>
      </c>
      <c r="P495" s="81">
        <f>IF(Data!M495="CD",0,1)</f>
        <v>0</v>
      </c>
      <c r="Q495" s="81">
        <f>IF(Data!Q495&gt;Data!P495,DATEDIF(Data!P495,Data!Q495,"d"),0)</f>
        <v>1</v>
      </c>
      <c r="R495" s="81">
        <f>IF(Data!R495&gt;Data!Q495,DATEDIF(Data!Q495,Data!R495,"d"),0)</f>
        <v>7</v>
      </c>
      <c r="X495"/>
      <c r="Y495"/>
      <c r="Z495"/>
    </row>
    <row r="496" spans="2:26" ht="16" x14ac:dyDescent="0.2">
      <c r="B496" s="45"/>
      <c r="C496" s="80">
        <f t="shared" ca="1" si="15"/>
        <v>45959</v>
      </c>
      <c r="D496" s="81">
        <f>IF(Data!I496&lt;&gt;"",DATEDIF(Data!I496,C496,"m"),0)</f>
        <v>0</v>
      </c>
      <c r="E496" s="82">
        <f t="shared" si="17"/>
        <v>0</v>
      </c>
      <c r="I496" s="81" t="str">
        <f>CONCATENATE(Data!M496,"-",Data!L496)</f>
        <v>CD-BA</v>
      </c>
      <c r="N496" s="81">
        <f>IF(Data!P496,DATEDIF(Data!O496,Data!P496,"d"),0)</f>
        <v>1</v>
      </c>
      <c r="O496" s="81">
        <f>IF(Data!M496="CD",1,0)</f>
        <v>1</v>
      </c>
      <c r="P496" s="81">
        <f>IF(Data!M496="CD",0,1)</f>
        <v>0</v>
      </c>
      <c r="Q496" s="81">
        <f>IF(Data!Q496&gt;Data!P496,DATEDIF(Data!P496,Data!Q496,"d"),0)</f>
        <v>1</v>
      </c>
      <c r="R496" s="81">
        <f>IF(Data!R496&gt;Data!Q496,DATEDIF(Data!Q496,Data!R496,"d"),0)</f>
        <v>7</v>
      </c>
      <c r="X496"/>
      <c r="Y496"/>
      <c r="Z496"/>
    </row>
    <row r="497" spans="2:26" ht="16" x14ac:dyDescent="0.2">
      <c r="B497" s="45"/>
      <c r="C497" s="80">
        <f t="shared" ca="1" si="15"/>
        <v>45959</v>
      </c>
      <c r="D497" s="81">
        <f>IF(Data!I497&lt;&gt;"",DATEDIF(Data!I497,C497,"m"),0)</f>
        <v>0</v>
      </c>
      <c r="E497" s="82">
        <f t="shared" si="16"/>
        <v>0</v>
      </c>
      <c r="I497" s="81" t="str">
        <f>CONCATENATE(Data!M497,"-",Data!L497)</f>
        <v>CD-GE</v>
      </c>
      <c r="N497" s="81">
        <f>IF(Data!P497,DATEDIF(Data!O497,Data!P497,"d"),0)</f>
        <v>1</v>
      </c>
      <c r="O497" s="81">
        <f>IF(Data!M497="CD",1,0)</f>
        <v>1</v>
      </c>
      <c r="P497" s="81">
        <f>IF(Data!M497="CD",0,1)</f>
        <v>0</v>
      </c>
      <c r="Q497" s="81">
        <f>IF(Data!Q497&gt;Data!P497,DATEDIF(Data!P497,Data!Q497,"d"),0)</f>
        <v>3</v>
      </c>
      <c r="R497" s="81">
        <f>IF(Data!R497&gt;Data!Q497,DATEDIF(Data!Q497,Data!R497,"d"),0)</f>
        <v>38</v>
      </c>
      <c r="X497"/>
      <c r="Y497"/>
      <c r="Z497"/>
    </row>
    <row r="498" spans="2:26" ht="16" x14ac:dyDescent="0.2">
      <c r="B498" s="45"/>
      <c r="C498" s="80">
        <f t="shared" ca="1" si="15"/>
        <v>45959</v>
      </c>
      <c r="D498" s="81">
        <f ca="1">IF(Data!I498&lt;&gt;"",DATEDIF(Data!I498,C498,"m"),0)</f>
        <v>31</v>
      </c>
      <c r="E498" s="82">
        <f t="shared" ca="1" si="16"/>
        <v>2.5833333333333335</v>
      </c>
      <c r="I498" s="81" t="str">
        <f>CONCATENATE(Data!M498,"-",Data!L498)</f>
        <v>CI-GE</v>
      </c>
      <c r="N498" s="81">
        <f>IF(Data!P498,DATEDIF(Data!O498,Data!P498,"d"),0)</f>
        <v>0</v>
      </c>
      <c r="O498" s="81">
        <f>IF(Data!M498="CD",1,0)</f>
        <v>0</v>
      </c>
      <c r="P498" s="81">
        <f>IF(Data!M498="CD",0,1)</f>
        <v>1</v>
      </c>
      <c r="Q498" s="81">
        <f>IF(Data!Q498&gt;Data!P498,DATEDIF(Data!P498,Data!Q498,"d"),0)</f>
        <v>0</v>
      </c>
      <c r="R498" s="81">
        <f>IF(Data!R498&gt;Data!Q498,DATEDIF(Data!Q498,Data!R498,"d"),0)</f>
        <v>3</v>
      </c>
      <c r="X498"/>
      <c r="Y498"/>
      <c r="Z498"/>
    </row>
    <row r="499" spans="2:26" ht="16" x14ac:dyDescent="0.2">
      <c r="C499" s="80">
        <f t="shared" ca="1" si="15"/>
        <v>45959</v>
      </c>
      <c r="D499" s="81">
        <f ca="1">IF(Data!I499&lt;&gt;"",DATEDIF(Data!I499,C499,"m"),0)</f>
        <v>33</v>
      </c>
      <c r="E499" s="82">
        <f t="shared" ca="1" si="16"/>
        <v>2.75</v>
      </c>
      <c r="I499" s="81" t="str">
        <f>CONCATENATE(Data!M499,"-",Data!L499)</f>
        <v>CI-GE</v>
      </c>
      <c r="N499" s="81">
        <f>IF(Data!P499,DATEDIF(Data!O499,Data!P499,"d"),0)</f>
        <v>0</v>
      </c>
      <c r="O499" s="81">
        <f>IF(Data!M499="CD",1,0)</f>
        <v>0</v>
      </c>
      <c r="P499" s="81">
        <f>IF(Data!M499="CD",0,1)</f>
        <v>1</v>
      </c>
      <c r="Q499" s="81">
        <f>IF(Data!Q499&gt;Data!P499,DATEDIF(Data!P499,Data!Q499,"d"),0)</f>
        <v>14</v>
      </c>
      <c r="R499" s="81">
        <f>IF(Data!R499&gt;Data!Q499,DATEDIF(Data!Q499,Data!R499,"d"),0)</f>
        <v>31</v>
      </c>
      <c r="X499"/>
      <c r="Y499"/>
      <c r="Z499"/>
    </row>
    <row r="500" spans="2:26" ht="16" x14ac:dyDescent="0.2">
      <c r="C500" s="80">
        <f t="shared" ca="1" si="15"/>
        <v>45959</v>
      </c>
      <c r="D500" s="81">
        <f>IF(Data!I500&lt;&gt;"",DATEDIF(Data!I500,C500,"m"),0)</f>
        <v>0</v>
      </c>
      <c r="E500" s="82">
        <f t="shared" si="16"/>
        <v>0</v>
      </c>
      <c r="I500" s="81" t="str">
        <f>CONCATENATE(Data!M500,"-",Data!L500)</f>
        <v>CD-GE</v>
      </c>
      <c r="N500" s="81">
        <f>IF(Data!P500,DATEDIF(Data!O500,Data!P500,"d"),0)</f>
        <v>3</v>
      </c>
      <c r="O500" s="81">
        <f>IF(Data!M500="CD",1,0)</f>
        <v>1</v>
      </c>
      <c r="P500" s="81">
        <f>IF(Data!M500="CD",0,1)</f>
        <v>0</v>
      </c>
      <c r="Q500" s="81">
        <f>IF(Data!Q500&gt;Data!P500,DATEDIF(Data!P500,Data!Q500,"d"),0)</f>
        <v>4</v>
      </c>
      <c r="R500" s="81">
        <f>IF(Data!R500&gt;Data!Q500,DATEDIF(Data!Q500,Data!R500,"d"),0)</f>
        <v>3</v>
      </c>
      <c r="X500"/>
      <c r="Y500"/>
      <c r="Z500"/>
    </row>
    <row r="501" spans="2:26" ht="16" x14ac:dyDescent="0.2">
      <c r="C501" s="80">
        <f t="shared" ca="1" si="15"/>
        <v>45959</v>
      </c>
      <c r="D501" s="81">
        <f>IF(Data!I501&lt;&gt;"",DATEDIF(Data!I501,C501,"m"),0)</f>
        <v>0</v>
      </c>
      <c r="E501" s="82">
        <f t="shared" si="16"/>
        <v>0</v>
      </c>
      <c r="I501" s="81" t="str">
        <f>CONCATENATE(Data!M501,"-",Data!L501)</f>
        <v>CD-BA</v>
      </c>
      <c r="N501" s="81">
        <f>IF(Data!P501,DATEDIF(Data!O501,Data!P501,"d"),0)</f>
        <v>49</v>
      </c>
      <c r="O501" s="81">
        <f>IF(Data!M501="CD",1,0)</f>
        <v>1</v>
      </c>
      <c r="P501" s="81">
        <f>IF(Data!M501="CD",0,1)</f>
        <v>0</v>
      </c>
      <c r="Q501" s="81">
        <f>IF(Data!Q501&gt;Data!P501,DATEDIF(Data!P501,Data!Q501,"d"),0)</f>
        <v>0</v>
      </c>
      <c r="R501" s="81">
        <f>IF(Data!R501&gt;Data!Q501,DATEDIF(Data!Q501,Data!R501,"d"),0)</f>
        <v>0</v>
      </c>
      <c r="X501"/>
      <c r="Y501"/>
      <c r="Z501"/>
    </row>
    <row r="502" spans="2:26" ht="16" x14ac:dyDescent="0.2">
      <c r="C502" s="80">
        <f t="shared" ca="1" si="15"/>
        <v>45959</v>
      </c>
      <c r="D502" s="81">
        <f ca="1">IF(Data!I502&lt;&gt;"",DATEDIF(Data!I502,C502,"m"),0)</f>
        <v>13</v>
      </c>
      <c r="E502" s="82">
        <f t="shared" ca="1" si="16"/>
        <v>1.0833333333333333</v>
      </c>
      <c r="I502" s="81" t="str">
        <f>CONCATENATE(Data!M502,"-",Data!L502)</f>
        <v>CD-VA</v>
      </c>
      <c r="N502" s="81">
        <f>IF(Data!P502,DATEDIF(Data!O502,Data!P502,"d"),0)</f>
        <v>3</v>
      </c>
      <c r="O502" s="81">
        <f>IF(Data!M502="CD",1,0)</f>
        <v>1</v>
      </c>
      <c r="P502" s="81">
        <f>IF(Data!M502="CD",0,1)</f>
        <v>0</v>
      </c>
      <c r="Q502" s="81">
        <f>IF(Data!Q502&gt;Data!P502,DATEDIF(Data!P502,Data!Q502,"d"),0)</f>
        <v>0</v>
      </c>
      <c r="R502" s="81">
        <f>IF(Data!R502&gt;Data!Q502,DATEDIF(Data!Q502,Data!R502,"d"),0)</f>
        <v>10</v>
      </c>
      <c r="X502"/>
      <c r="Y502"/>
      <c r="Z502"/>
    </row>
    <row r="503" spans="2:26" ht="16" x14ac:dyDescent="0.2">
      <c r="C503" s="80">
        <f t="shared" ca="1" si="15"/>
        <v>45959</v>
      </c>
      <c r="D503" s="81">
        <f ca="1">IF(Data!I503&lt;&gt;"",DATEDIF(Data!I503,C503,"m"),0)</f>
        <v>196</v>
      </c>
      <c r="E503" s="82">
        <f t="shared" ca="1" si="16"/>
        <v>16.333333333333332</v>
      </c>
      <c r="I503" s="81" t="str">
        <f>CONCATENATE(Data!M503,"-",Data!L503)</f>
        <v>CD-GE</v>
      </c>
      <c r="N503" s="81">
        <f>IF(Data!P503,DATEDIF(Data!O503,Data!P503,"d"),0)</f>
        <v>3</v>
      </c>
      <c r="O503" s="81">
        <f>IF(Data!M503="CD",1,0)</f>
        <v>1</v>
      </c>
      <c r="P503" s="81">
        <f>IF(Data!M503="CD",0,1)</f>
        <v>0</v>
      </c>
      <c r="Q503" s="81">
        <f>IF(Data!Q503&gt;Data!P503,DATEDIF(Data!P503,Data!Q503,"d"),0)</f>
        <v>0</v>
      </c>
      <c r="R503" s="81">
        <f>IF(Data!R503&gt;Data!Q503,DATEDIF(Data!Q503,Data!R503,"d"),0)</f>
        <v>7</v>
      </c>
      <c r="X503"/>
      <c r="Y503"/>
      <c r="Z503"/>
    </row>
    <row r="504" spans="2:26" ht="16" x14ac:dyDescent="0.2">
      <c r="C504" s="80">
        <f t="shared" ca="1" si="15"/>
        <v>45959</v>
      </c>
      <c r="D504" s="81">
        <f ca="1">IF(Data!I504&lt;&gt;"",DATEDIF(Data!I504,C504,"m"),0)</f>
        <v>172</v>
      </c>
      <c r="E504" s="82">
        <f t="shared" ca="1" si="16"/>
        <v>14.333333333333334</v>
      </c>
      <c r="I504" s="81" t="str">
        <f>CONCATENATE(Data!M504,"-",Data!L504)</f>
        <v>CD-GE</v>
      </c>
      <c r="N504" s="81">
        <f>IF(Data!P504,DATEDIF(Data!O504,Data!P504,"d"),0)</f>
        <v>3</v>
      </c>
      <c r="O504" s="81">
        <f>IF(Data!M504="CD",1,0)</f>
        <v>1</v>
      </c>
      <c r="P504" s="81">
        <f>IF(Data!M504="CD",0,1)</f>
        <v>0</v>
      </c>
      <c r="Q504" s="81">
        <f>IF(Data!Q504&gt;Data!P504,DATEDIF(Data!P504,Data!Q504,"d"),0)</f>
        <v>0</v>
      </c>
      <c r="R504" s="81">
        <f>IF(Data!R504&gt;Data!Q504,DATEDIF(Data!Q504,Data!R504,"d"),0)</f>
        <v>8</v>
      </c>
      <c r="X504"/>
      <c r="Y504"/>
      <c r="Z504"/>
    </row>
    <row r="505" spans="2:26" ht="16" x14ac:dyDescent="0.2">
      <c r="C505" s="80">
        <f t="shared" ca="1" si="15"/>
        <v>45959</v>
      </c>
      <c r="D505" s="81">
        <f ca="1">IF(Data!I505&lt;&gt;"",DATEDIF(Data!I505,C505,"m"),0)</f>
        <v>13</v>
      </c>
      <c r="E505" s="82">
        <f t="shared" ca="1" si="16"/>
        <v>1.0833333333333333</v>
      </c>
      <c r="I505" s="81" t="str">
        <f>CONCATENATE(Data!M505,"-",Data!L505)</f>
        <v>CD-GE</v>
      </c>
      <c r="N505" s="81">
        <f>IF(Data!P505,DATEDIF(Data!O505,Data!P505,"d"),0)</f>
        <v>4</v>
      </c>
      <c r="O505" s="81">
        <f>IF(Data!M505="CD",1,0)</f>
        <v>1</v>
      </c>
      <c r="P505" s="81">
        <f>IF(Data!M505="CD",0,1)</f>
        <v>0</v>
      </c>
      <c r="Q505" s="81">
        <f>IF(Data!Q505&gt;Data!P505,DATEDIF(Data!P505,Data!Q505,"d"),0)</f>
        <v>1</v>
      </c>
      <c r="R505" s="81">
        <f>IF(Data!R505&gt;Data!Q505,DATEDIF(Data!Q505,Data!R505,"d"),0)</f>
        <v>6</v>
      </c>
      <c r="X505"/>
      <c r="Y505"/>
      <c r="Z505"/>
    </row>
    <row r="506" spans="2:26" ht="16" x14ac:dyDescent="0.2">
      <c r="C506" s="80">
        <f t="shared" ca="1" si="15"/>
        <v>45959</v>
      </c>
      <c r="D506" s="81">
        <f ca="1">IF(Data!I506&lt;&gt;"",DATEDIF(Data!I506,C506,"m"),0)</f>
        <v>59</v>
      </c>
      <c r="E506" s="82">
        <f t="shared" ca="1" si="16"/>
        <v>4.916666666666667</v>
      </c>
      <c r="I506" s="81" t="str">
        <f>CONCATENATE(Data!M506,"-",Data!L506)</f>
        <v>CD-GE</v>
      </c>
      <c r="N506" s="81">
        <f>IF(Data!P506,DATEDIF(Data!O506,Data!P506,"d"),0)</f>
        <v>148</v>
      </c>
      <c r="O506" s="81">
        <f>IF(Data!M506="CD",1,0)</f>
        <v>1</v>
      </c>
      <c r="P506" s="81">
        <f>IF(Data!M506="CD",0,1)</f>
        <v>0</v>
      </c>
      <c r="Q506" s="81">
        <f>IF(Data!Q506&gt;Data!P506,DATEDIF(Data!P506,Data!Q506,"d"),0)</f>
        <v>0</v>
      </c>
      <c r="R506" s="81">
        <f>IF(Data!R506&gt;Data!Q506,DATEDIF(Data!Q506,Data!R506,"d"),0)</f>
        <v>3</v>
      </c>
      <c r="X506"/>
      <c r="Y506"/>
      <c r="Z506"/>
    </row>
    <row r="507" spans="2:26" ht="16" x14ac:dyDescent="0.2">
      <c r="C507" s="80">
        <f t="shared" ca="1" si="15"/>
        <v>45959</v>
      </c>
      <c r="D507" s="81">
        <f ca="1">IF(Data!I507&lt;&gt;"",DATEDIF(Data!I507,C507,"m"),0)</f>
        <v>39</v>
      </c>
      <c r="E507" s="82">
        <f t="shared" ca="1" si="16"/>
        <v>3.25</v>
      </c>
      <c r="I507" s="81" t="str">
        <f>CONCATENATE(Data!M507,"-",Data!L507)</f>
        <v>CD-VA</v>
      </c>
      <c r="N507" s="81">
        <f>IF(Data!P507,DATEDIF(Data!O507,Data!P507,"d"),0)</f>
        <v>0</v>
      </c>
      <c r="O507" s="81">
        <f>IF(Data!M507="CD",1,0)</f>
        <v>1</v>
      </c>
      <c r="P507" s="81">
        <f>IF(Data!M507="CD",0,1)</f>
        <v>0</v>
      </c>
      <c r="Q507" s="81">
        <f>IF(Data!Q507&gt;Data!P507,DATEDIF(Data!P507,Data!Q507,"d"),0)</f>
        <v>5</v>
      </c>
      <c r="R507" s="81">
        <f>IF(Data!R507&gt;Data!Q507,DATEDIF(Data!Q507,Data!R507,"d"),0)</f>
        <v>10</v>
      </c>
      <c r="X507"/>
      <c r="Y507"/>
      <c r="Z507"/>
    </row>
    <row r="508" spans="2:26" ht="16" x14ac:dyDescent="0.2">
      <c r="C508" s="80">
        <f t="shared" ca="1" si="15"/>
        <v>45959</v>
      </c>
      <c r="D508" s="81">
        <f ca="1">IF(Data!I508&lt;&gt;"",DATEDIF(Data!I508,C508,"m"),0)</f>
        <v>196</v>
      </c>
      <c r="E508" s="82">
        <f t="shared" ca="1" si="16"/>
        <v>16.333333333333332</v>
      </c>
      <c r="I508" s="81" t="str">
        <f>CONCATENATE(Data!M508,"-",Data!L508)</f>
        <v>CD-CH</v>
      </c>
      <c r="N508" s="81">
        <f>IF(Data!P508,DATEDIF(Data!O508,Data!P508,"d"),0)</f>
        <v>3</v>
      </c>
      <c r="O508" s="81">
        <f>IF(Data!M508="CD",1,0)</f>
        <v>1</v>
      </c>
      <c r="P508" s="81">
        <f>IF(Data!M508="CD",0,1)</f>
        <v>0</v>
      </c>
      <c r="Q508" s="81">
        <f>IF(Data!Q508&gt;Data!P508,DATEDIF(Data!P508,Data!Q508,"d"),0)</f>
        <v>47</v>
      </c>
      <c r="R508" s="81">
        <f>IF(Data!R508&gt;Data!Q508,DATEDIF(Data!Q508,Data!R508,"d"),0)</f>
        <v>1</v>
      </c>
      <c r="X508"/>
      <c r="Y508"/>
      <c r="Z508"/>
    </row>
    <row r="509" spans="2:26" ht="16" x14ac:dyDescent="0.2">
      <c r="C509" s="80">
        <f t="shared" ca="1" si="15"/>
        <v>45959</v>
      </c>
      <c r="D509" s="81">
        <f ca="1">IF(Data!I509&lt;&gt;"",DATEDIF(Data!I509,C509,"m"),0)</f>
        <v>126</v>
      </c>
      <c r="E509" s="82">
        <f t="shared" ca="1" si="16"/>
        <v>10.5</v>
      </c>
      <c r="I509" s="81" t="str">
        <f>CONCATENATE(Data!M509,"-",Data!L509)</f>
        <v>CI-VA</v>
      </c>
      <c r="N509" s="81">
        <f>IF(Data!P509,DATEDIF(Data!O509,Data!P509,"d"),0)</f>
        <v>0</v>
      </c>
      <c r="O509" s="81">
        <f>IF(Data!M509="CD",1,0)</f>
        <v>0</v>
      </c>
      <c r="P509" s="81">
        <f>IF(Data!M509="CD",0,1)</f>
        <v>1</v>
      </c>
      <c r="Q509" s="81">
        <f>IF(Data!Q509&gt;Data!P509,DATEDIF(Data!P509,Data!Q509,"d"),0)</f>
        <v>16</v>
      </c>
      <c r="R509" s="81">
        <f>IF(Data!R509&gt;Data!Q509,DATEDIF(Data!Q509,Data!R509,"d"),0)</f>
        <v>0</v>
      </c>
      <c r="X509"/>
      <c r="Y509"/>
      <c r="Z509"/>
    </row>
    <row r="510" spans="2:26" ht="16" x14ac:dyDescent="0.2">
      <c r="C510" s="80">
        <f t="shared" ca="1" si="15"/>
        <v>45959</v>
      </c>
      <c r="D510" s="81">
        <f>IF(Data!I510&lt;&gt;"",DATEDIF(Data!I510,C510,"m"),0)</f>
        <v>0</v>
      </c>
      <c r="E510" s="82">
        <f t="shared" si="16"/>
        <v>0</v>
      </c>
      <c r="I510" s="81" t="str">
        <f>CONCATENATE(Data!M510,"-",Data!L510)</f>
        <v>CD-BA</v>
      </c>
      <c r="N510" s="81">
        <f>IF(Data!P510,DATEDIF(Data!O510,Data!P510,"d"),0)</f>
        <v>0</v>
      </c>
      <c r="O510" s="81">
        <f>IF(Data!M510="CD",1,0)</f>
        <v>1</v>
      </c>
      <c r="P510" s="81">
        <f>IF(Data!M510="CD",0,1)</f>
        <v>0</v>
      </c>
      <c r="Q510" s="81">
        <f>IF(Data!Q510&gt;Data!P510,DATEDIF(Data!P510,Data!Q510,"d"),0)</f>
        <v>0</v>
      </c>
      <c r="R510" s="81">
        <f>IF(Data!R510&gt;Data!Q510,DATEDIF(Data!Q510,Data!R510,"d"),0)</f>
        <v>0</v>
      </c>
      <c r="X510"/>
      <c r="Y510"/>
      <c r="Z510"/>
    </row>
    <row r="511" spans="2:26" ht="16" x14ac:dyDescent="0.2">
      <c r="C511" s="80">
        <f t="shared" ca="1" si="15"/>
        <v>45959</v>
      </c>
      <c r="D511" s="81">
        <f ca="1">IF(Data!I511&lt;&gt;"",DATEDIF(Data!I511,C511,"m"),0)</f>
        <v>196</v>
      </c>
      <c r="E511" s="82">
        <f t="shared" ca="1" si="16"/>
        <v>16.333333333333332</v>
      </c>
      <c r="I511" s="81" t="str">
        <f>CONCATENATE(Data!M511,"-",Data!L511)</f>
        <v>CD-CH</v>
      </c>
      <c r="N511" s="81">
        <f>IF(Data!P511,DATEDIF(Data!O511,Data!P511,"d"),0)</f>
        <v>0</v>
      </c>
      <c r="O511" s="81">
        <f>IF(Data!M511="CD",1,0)</f>
        <v>1</v>
      </c>
      <c r="P511" s="81">
        <f>IF(Data!M511="CD",0,1)</f>
        <v>0</v>
      </c>
      <c r="Q511" s="81">
        <f>IF(Data!Q511&gt;Data!P511,DATEDIF(Data!P511,Data!Q511,"d"),0)</f>
        <v>6</v>
      </c>
      <c r="R511" s="81">
        <f>IF(Data!R511&gt;Data!Q511,DATEDIF(Data!Q511,Data!R511,"d"),0)</f>
        <v>0</v>
      </c>
      <c r="X511"/>
      <c r="Y511"/>
      <c r="Z511"/>
    </row>
    <row r="512" spans="2:26" ht="16" x14ac:dyDescent="0.2">
      <c r="C512" s="80">
        <f t="shared" ca="1" si="15"/>
        <v>45959</v>
      </c>
      <c r="D512" s="81">
        <f>IF(Data!I512&lt;&gt;"",DATEDIF(Data!I512,C512,"m"),0)</f>
        <v>0</v>
      </c>
      <c r="E512" s="82">
        <f t="shared" si="16"/>
        <v>0</v>
      </c>
      <c r="I512" s="81" t="str">
        <f>CONCATENATE(Data!M512,"-",Data!L512)</f>
        <v>CD-GE</v>
      </c>
      <c r="N512" s="81">
        <f>IF(Data!P512,DATEDIF(Data!O512,Data!P512,"d"),0)</f>
        <v>6</v>
      </c>
      <c r="O512" s="81">
        <f>IF(Data!M512="CD",1,0)</f>
        <v>1</v>
      </c>
      <c r="P512" s="81">
        <f>IF(Data!M512="CD",0,1)</f>
        <v>0</v>
      </c>
      <c r="Q512" s="81">
        <f>IF(Data!Q512&gt;Data!P512,DATEDIF(Data!P512,Data!Q512,"d"),0)</f>
        <v>2</v>
      </c>
      <c r="R512" s="81">
        <f>IF(Data!R512&gt;Data!Q512,DATEDIF(Data!Q512,Data!R512,"d"),0)</f>
        <v>12</v>
      </c>
      <c r="X512"/>
      <c r="Y512"/>
      <c r="Z512"/>
    </row>
    <row r="513" spans="3:26" ht="16" x14ac:dyDescent="0.2">
      <c r="C513" s="80">
        <f t="shared" ca="1" si="15"/>
        <v>45959</v>
      </c>
      <c r="D513" s="81">
        <f ca="1">IF(Data!I513&lt;&gt;"",DATEDIF(Data!I513,C513,"m"),0)</f>
        <v>196</v>
      </c>
      <c r="E513" s="82">
        <f t="shared" ca="1" si="16"/>
        <v>16.333333333333332</v>
      </c>
      <c r="I513" s="81" t="str">
        <f>CONCATENATE(Data!M513,"-",Data!L513)</f>
        <v>CD-CH</v>
      </c>
      <c r="N513" s="81">
        <f>IF(Data!P513,DATEDIF(Data!O513,Data!P513,"d"),0)</f>
        <v>0</v>
      </c>
      <c r="O513" s="81">
        <f>IF(Data!M513="CD",1,0)</f>
        <v>1</v>
      </c>
      <c r="P513" s="81">
        <f>IF(Data!M513="CD",0,1)</f>
        <v>0</v>
      </c>
      <c r="Q513" s="81">
        <f>IF(Data!Q513&gt;Data!P513,DATEDIF(Data!P513,Data!Q513,"d"),0)</f>
        <v>6</v>
      </c>
      <c r="R513" s="81">
        <f>IF(Data!R513&gt;Data!Q513,DATEDIF(Data!Q513,Data!R513,"d"),0)</f>
        <v>9</v>
      </c>
      <c r="X513"/>
      <c r="Y513"/>
      <c r="Z513"/>
    </row>
    <row r="514" spans="3:26" ht="16" x14ac:dyDescent="0.2">
      <c r="C514" s="80">
        <f t="shared" ref="C514:C577" ca="1" si="18">TODAY()</f>
        <v>45959</v>
      </c>
      <c r="D514" s="81">
        <f ca="1">IF(Data!I514&lt;&gt;"",DATEDIF(Data!I514,C514,"m"),0)</f>
        <v>12</v>
      </c>
      <c r="E514" s="82">
        <f t="shared" ca="1" si="16"/>
        <v>1</v>
      </c>
      <c r="I514" s="81" t="str">
        <f>CONCATENATE(Data!M514,"-",Data!L514)</f>
        <v>CD-BA</v>
      </c>
      <c r="N514" s="81">
        <f>IF(Data!P514,DATEDIF(Data!O514,Data!P514,"d"),0)</f>
        <v>7</v>
      </c>
      <c r="O514" s="81">
        <f>IF(Data!M514="CD",1,0)</f>
        <v>1</v>
      </c>
      <c r="P514" s="81">
        <f>IF(Data!M514="CD",0,1)</f>
        <v>0</v>
      </c>
      <c r="Q514" s="81">
        <f>IF(Data!Q514&gt;Data!P514,DATEDIF(Data!P514,Data!Q514,"d"),0)</f>
        <v>0</v>
      </c>
      <c r="R514" s="81">
        <f>IF(Data!R514&gt;Data!Q514,DATEDIF(Data!Q514,Data!R514,"d"),0)</f>
        <v>7</v>
      </c>
      <c r="X514"/>
      <c r="Y514"/>
      <c r="Z514"/>
    </row>
    <row r="515" spans="3:26" ht="16" x14ac:dyDescent="0.2">
      <c r="C515" s="80">
        <f t="shared" ca="1" si="18"/>
        <v>45959</v>
      </c>
      <c r="D515" s="81">
        <f>IF(Data!I515&lt;&gt;"",DATEDIF(Data!I515,C515,"m"),0)</f>
        <v>0</v>
      </c>
      <c r="E515" s="82">
        <f t="shared" ref="E515:E578" si="19">D515/12</f>
        <v>0</v>
      </c>
      <c r="I515" s="81" t="str">
        <f>CONCATENATE(Data!M515,"-",Data!L515)</f>
        <v>CI-GE</v>
      </c>
      <c r="N515" s="81">
        <f>IF(Data!P515,DATEDIF(Data!O515,Data!P515,"d"),0)</f>
        <v>0</v>
      </c>
      <c r="O515" s="81">
        <f>IF(Data!M515="CD",1,0)</f>
        <v>0</v>
      </c>
      <c r="P515" s="81">
        <f>IF(Data!M515="CD",0,1)</f>
        <v>1</v>
      </c>
      <c r="Q515" s="81">
        <f>IF(Data!Q515&gt;Data!P515,DATEDIF(Data!P515,Data!Q515,"d"),0)</f>
        <v>7</v>
      </c>
      <c r="R515" s="81">
        <f>IF(Data!R515&gt;Data!Q515,DATEDIF(Data!Q515,Data!R515,"d"),0)</f>
        <v>3</v>
      </c>
      <c r="X515"/>
      <c r="Y515"/>
      <c r="Z515"/>
    </row>
    <row r="516" spans="3:26" ht="16" x14ac:dyDescent="0.2">
      <c r="C516" s="80">
        <f t="shared" ca="1" si="18"/>
        <v>45959</v>
      </c>
      <c r="D516" s="81">
        <f ca="1">IF(Data!I516&lt;&gt;"",DATEDIF(Data!I516,C516,"m"),0)</f>
        <v>26</v>
      </c>
      <c r="E516" s="82">
        <f t="shared" ca="1" si="19"/>
        <v>2.1666666666666665</v>
      </c>
      <c r="I516" s="81" t="str">
        <f>CONCATENATE(Data!M516,"-",Data!L516)</f>
        <v>CD-BA</v>
      </c>
      <c r="N516" s="81">
        <f>IF(Data!P516,DATEDIF(Data!O516,Data!P516,"d"),0)</f>
        <v>10</v>
      </c>
      <c r="O516" s="81">
        <f>IF(Data!M516="CD",1,0)</f>
        <v>1</v>
      </c>
      <c r="P516" s="81">
        <f>IF(Data!M516="CD",0,1)</f>
        <v>0</v>
      </c>
      <c r="Q516" s="81">
        <f>IF(Data!Q516&gt;Data!P516,DATEDIF(Data!P516,Data!Q516,"d"),0)</f>
        <v>0</v>
      </c>
      <c r="R516" s="81">
        <f>IF(Data!R516&gt;Data!Q516,DATEDIF(Data!Q516,Data!R516,"d"),0)</f>
        <v>0</v>
      </c>
      <c r="X516"/>
      <c r="Y516"/>
      <c r="Z516"/>
    </row>
    <row r="517" spans="3:26" ht="16" x14ac:dyDescent="0.2">
      <c r="C517" s="80">
        <f t="shared" ca="1" si="18"/>
        <v>45959</v>
      </c>
      <c r="D517" s="81">
        <f>IF(Data!I517&lt;&gt;"",DATEDIF(Data!I517,C517,"m"),0)</f>
        <v>0</v>
      </c>
      <c r="E517" s="82">
        <f t="shared" si="19"/>
        <v>0</v>
      </c>
      <c r="I517" s="81" t="str">
        <f>CONCATENATE(Data!M517,"-",Data!L517)</f>
        <v>CD-BA</v>
      </c>
      <c r="N517" s="81">
        <f>IF(Data!P517,DATEDIF(Data!O517,Data!P517,"d"),0)</f>
        <v>168</v>
      </c>
      <c r="O517" s="81">
        <f>IF(Data!M517="CD",1,0)</f>
        <v>1</v>
      </c>
      <c r="P517" s="81">
        <f>IF(Data!M517="CD",0,1)</f>
        <v>0</v>
      </c>
      <c r="Q517" s="81">
        <f>IF(Data!Q517&gt;Data!P517,DATEDIF(Data!P517,Data!Q517,"d"),0)</f>
        <v>0</v>
      </c>
      <c r="R517" s="81">
        <f>IF(Data!R517&gt;Data!Q517,DATEDIF(Data!Q517,Data!R517,"d"),0)</f>
        <v>7</v>
      </c>
      <c r="X517"/>
      <c r="Y517"/>
      <c r="Z517"/>
    </row>
    <row r="518" spans="3:26" ht="16" x14ac:dyDescent="0.2">
      <c r="C518" s="80">
        <f t="shared" ca="1" si="18"/>
        <v>45959</v>
      </c>
      <c r="D518" s="81">
        <f ca="1">IF(Data!I518&lt;&gt;"",DATEDIF(Data!I518,C518,"m"),0)</f>
        <v>12</v>
      </c>
      <c r="E518" s="82">
        <f t="shared" ca="1" si="19"/>
        <v>1</v>
      </c>
      <c r="I518" s="81" t="str">
        <f>CONCATENATE(Data!M518,"-",Data!L518)</f>
        <v>CD-GE</v>
      </c>
      <c r="N518" s="81">
        <f>IF(Data!P518,DATEDIF(Data!O518,Data!P518,"d"),0)</f>
        <v>0</v>
      </c>
      <c r="O518" s="81">
        <f>IF(Data!M518="CD",1,0)</f>
        <v>1</v>
      </c>
      <c r="P518" s="81">
        <f>IF(Data!M518="CD",0,1)</f>
        <v>0</v>
      </c>
      <c r="Q518" s="81">
        <f>IF(Data!Q518&gt;Data!P518,DATEDIF(Data!P518,Data!Q518,"d"),0)</f>
        <v>0</v>
      </c>
      <c r="R518" s="81">
        <f>IF(Data!R518&gt;Data!Q518,DATEDIF(Data!Q518,Data!R518,"d"),0)</f>
        <v>4</v>
      </c>
      <c r="X518"/>
      <c r="Y518"/>
      <c r="Z518"/>
    </row>
    <row r="519" spans="3:26" ht="16" x14ac:dyDescent="0.2">
      <c r="C519" s="80">
        <f t="shared" ca="1" si="18"/>
        <v>45959</v>
      </c>
      <c r="D519" s="81">
        <f ca="1">IF(Data!I519&lt;&gt;"",DATEDIF(Data!I519,C519,"m"),0)</f>
        <v>86</v>
      </c>
      <c r="E519" s="82">
        <f t="shared" ca="1" si="19"/>
        <v>7.166666666666667</v>
      </c>
      <c r="I519" s="81" t="str">
        <f>CONCATENATE(Data!M519,"-",Data!L519)</f>
        <v>CD-BA</v>
      </c>
      <c r="N519" s="81">
        <f>IF(Data!P519,DATEDIF(Data!O519,Data!P519,"d"),0)</f>
        <v>0</v>
      </c>
      <c r="O519" s="81">
        <f>IF(Data!M519="CD",1,0)</f>
        <v>1</v>
      </c>
      <c r="P519" s="81">
        <f>IF(Data!M519="CD",0,1)</f>
        <v>0</v>
      </c>
      <c r="Q519" s="81">
        <f>IF(Data!Q519&gt;Data!P519,DATEDIF(Data!P519,Data!Q519,"d"),0)</f>
        <v>1</v>
      </c>
      <c r="R519" s="81">
        <f>IF(Data!R519&gt;Data!Q519,DATEDIF(Data!Q519,Data!R519,"d"),0)</f>
        <v>10</v>
      </c>
      <c r="X519"/>
      <c r="Y519"/>
      <c r="Z519"/>
    </row>
    <row r="520" spans="3:26" ht="16" x14ac:dyDescent="0.2">
      <c r="C520" s="80">
        <f t="shared" ca="1" si="18"/>
        <v>45959</v>
      </c>
      <c r="D520" s="81">
        <f ca="1">IF(Data!I520&lt;&gt;"",DATEDIF(Data!I520,C520,"m"),0)</f>
        <v>22</v>
      </c>
      <c r="E520" s="82">
        <f t="shared" ca="1" si="19"/>
        <v>1.8333333333333333</v>
      </c>
      <c r="I520" s="81" t="str">
        <f>CONCATENATE(Data!M520,"-",Data!L520)</f>
        <v>CD-BA</v>
      </c>
      <c r="N520" s="81">
        <f>IF(Data!P520,DATEDIF(Data!O520,Data!P520,"d"),0)</f>
        <v>0</v>
      </c>
      <c r="O520" s="81">
        <f>IF(Data!M520="CD",1,0)</f>
        <v>1</v>
      </c>
      <c r="P520" s="81">
        <f>IF(Data!M520="CD",0,1)</f>
        <v>0</v>
      </c>
      <c r="Q520" s="81">
        <f>IF(Data!Q520&gt;Data!P520,DATEDIF(Data!P520,Data!Q520,"d"),0)</f>
        <v>1</v>
      </c>
      <c r="R520" s="81">
        <f>IF(Data!R520&gt;Data!Q520,DATEDIF(Data!Q520,Data!R520,"d"),0)</f>
        <v>2</v>
      </c>
      <c r="X520"/>
      <c r="Y520"/>
      <c r="Z520"/>
    </row>
    <row r="521" spans="3:26" ht="16" x14ac:dyDescent="0.2">
      <c r="C521" s="80">
        <f t="shared" ca="1" si="18"/>
        <v>45959</v>
      </c>
      <c r="D521" s="81">
        <f ca="1">IF(Data!I521&lt;&gt;"",DATEDIF(Data!I521,C521,"m"),0)</f>
        <v>177</v>
      </c>
      <c r="E521" s="82">
        <f t="shared" ca="1" si="19"/>
        <v>14.75</v>
      </c>
      <c r="I521" s="81" t="str">
        <f>CONCATENATE(Data!M521,"-",Data!L521)</f>
        <v>CD-BA</v>
      </c>
      <c r="N521" s="81">
        <f>IF(Data!P521,DATEDIF(Data!O521,Data!P521,"d"),0)</f>
        <v>0</v>
      </c>
      <c r="O521" s="81">
        <f>IF(Data!M521="CD",1,0)</f>
        <v>1</v>
      </c>
      <c r="P521" s="81">
        <f>IF(Data!M521="CD",0,1)</f>
        <v>0</v>
      </c>
      <c r="Q521" s="81">
        <f>IF(Data!Q521&gt;Data!P521,DATEDIF(Data!P521,Data!Q521,"d"),0)</f>
        <v>13</v>
      </c>
      <c r="R521" s="81">
        <f>IF(Data!R521&gt;Data!Q521,DATEDIF(Data!Q521,Data!R521,"d"),0)</f>
        <v>0</v>
      </c>
      <c r="X521"/>
      <c r="Y521"/>
      <c r="Z521"/>
    </row>
    <row r="522" spans="3:26" ht="16" x14ac:dyDescent="0.2">
      <c r="C522" s="80">
        <f t="shared" ca="1" si="18"/>
        <v>45959</v>
      </c>
      <c r="D522" s="81">
        <f ca="1">IF(Data!I522&lt;&gt;"",DATEDIF(Data!I522,C522,"m"),0)</f>
        <v>17</v>
      </c>
      <c r="E522" s="82">
        <f t="shared" ca="1" si="19"/>
        <v>1.4166666666666667</v>
      </c>
      <c r="I522" s="81" t="str">
        <f>CONCATENATE(Data!M522,"-",Data!L522)</f>
        <v>CD-BA</v>
      </c>
      <c r="N522" s="81">
        <f>IF(Data!P522,DATEDIF(Data!O522,Data!P522,"d"),0)</f>
        <v>0</v>
      </c>
      <c r="O522" s="81">
        <f>IF(Data!M522="CD",1,0)</f>
        <v>1</v>
      </c>
      <c r="P522" s="81">
        <f>IF(Data!M522="CD",0,1)</f>
        <v>0</v>
      </c>
      <c r="Q522" s="81">
        <f>IF(Data!Q522&gt;Data!P522,DATEDIF(Data!P522,Data!Q522,"d"),0)</f>
        <v>1</v>
      </c>
      <c r="R522" s="81">
        <f>IF(Data!R522&gt;Data!Q522,DATEDIF(Data!Q522,Data!R522,"d"),0)</f>
        <v>4</v>
      </c>
      <c r="X522"/>
      <c r="Y522"/>
      <c r="Z522"/>
    </row>
    <row r="523" spans="3:26" ht="16" x14ac:dyDescent="0.2">
      <c r="C523" s="80">
        <f t="shared" ca="1" si="18"/>
        <v>45959</v>
      </c>
      <c r="D523" s="81">
        <f ca="1">IF(Data!I523&lt;&gt;"",DATEDIF(Data!I523,C523,"m"),0)</f>
        <v>19</v>
      </c>
      <c r="E523" s="82">
        <f t="shared" ca="1" si="19"/>
        <v>1.5833333333333333</v>
      </c>
      <c r="I523" s="81" t="str">
        <f>CONCATENATE(Data!M523,"-",Data!L523)</f>
        <v>CD-BA</v>
      </c>
      <c r="N523" s="81">
        <f>IF(Data!P523,DATEDIF(Data!O523,Data!P523,"d"),0)</f>
        <v>0</v>
      </c>
      <c r="O523" s="81">
        <f>IF(Data!M523="CD",1,0)</f>
        <v>1</v>
      </c>
      <c r="P523" s="81">
        <f>IF(Data!M523="CD",0,1)</f>
        <v>0</v>
      </c>
      <c r="Q523" s="81">
        <f>IF(Data!Q523&gt;Data!P523,DATEDIF(Data!P523,Data!Q523,"d"),0)</f>
        <v>1</v>
      </c>
      <c r="R523" s="81">
        <f>IF(Data!R523&gt;Data!Q523,DATEDIF(Data!Q523,Data!R523,"d"),0)</f>
        <v>12</v>
      </c>
      <c r="X523"/>
      <c r="Y523"/>
      <c r="Z523"/>
    </row>
    <row r="524" spans="3:26" ht="16" x14ac:dyDescent="0.2">
      <c r="C524" s="80">
        <f t="shared" ca="1" si="18"/>
        <v>45959</v>
      </c>
      <c r="D524" s="81">
        <f ca="1">IF(Data!I524&lt;&gt;"",DATEDIF(Data!I524,C524,"m"),0)</f>
        <v>38</v>
      </c>
      <c r="E524" s="82">
        <f t="shared" ca="1" si="19"/>
        <v>3.1666666666666665</v>
      </c>
      <c r="I524" s="81" t="str">
        <f>CONCATENATE(Data!M524,"-",Data!L524)</f>
        <v>CD-BA</v>
      </c>
      <c r="N524" s="81">
        <f>IF(Data!P524,DATEDIF(Data!O524,Data!P524,"d"),0)</f>
        <v>0</v>
      </c>
      <c r="O524" s="81">
        <f>IF(Data!M524="CD",1,0)</f>
        <v>1</v>
      </c>
      <c r="P524" s="81">
        <f>IF(Data!M524="CD",0,1)</f>
        <v>0</v>
      </c>
      <c r="Q524" s="81">
        <f>IF(Data!Q524&gt;Data!P524,DATEDIF(Data!P524,Data!Q524,"d"),0)</f>
        <v>13</v>
      </c>
      <c r="R524" s="81">
        <f>IF(Data!R524&gt;Data!Q524,DATEDIF(Data!Q524,Data!R524,"d"),0)</f>
        <v>21</v>
      </c>
      <c r="X524"/>
      <c r="Y524"/>
      <c r="Z524"/>
    </row>
    <row r="525" spans="3:26" ht="16" x14ac:dyDescent="0.2">
      <c r="C525" s="80">
        <f t="shared" ca="1" si="18"/>
        <v>45959</v>
      </c>
      <c r="D525" s="81">
        <f ca="1">IF(Data!I525&lt;&gt;"",DATEDIF(Data!I525,C525,"m"),0)</f>
        <v>49</v>
      </c>
      <c r="E525" s="82">
        <f t="shared" ca="1" si="19"/>
        <v>4.083333333333333</v>
      </c>
      <c r="I525" s="81" t="str">
        <f>CONCATENATE(Data!M525,"-",Data!L525)</f>
        <v>CD-BA</v>
      </c>
      <c r="N525" s="81">
        <f>IF(Data!P525,DATEDIF(Data!O525,Data!P525,"d"),0)</f>
        <v>0</v>
      </c>
      <c r="O525" s="81">
        <f>IF(Data!M525="CD",1,0)</f>
        <v>1</v>
      </c>
      <c r="P525" s="81">
        <f>IF(Data!M525="CD",0,1)</f>
        <v>0</v>
      </c>
      <c r="Q525" s="81">
        <f>IF(Data!Q525&gt;Data!P525,DATEDIF(Data!P525,Data!Q525,"d"),0)</f>
        <v>15</v>
      </c>
      <c r="R525" s="81">
        <f>IF(Data!R525&gt;Data!Q525,DATEDIF(Data!Q525,Data!R525,"d"),0)</f>
        <v>12</v>
      </c>
      <c r="X525"/>
      <c r="Y525"/>
      <c r="Z525"/>
    </row>
    <row r="526" spans="3:26" ht="16" x14ac:dyDescent="0.2">
      <c r="C526" s="80">
        <f t="shared" ca="1" si="18"/>
        <v>45959</v>
      </c>
      <c r="D526" s="81">
        <f ca="1">IF(Data!I526&lt;&gt;"",DATEDIF(Data!I526,C526,"m"),0)</f>
        <v>36</v>
      </c>
      <c r="E526" s="82">
        <f t="shared" ca="1" si="19"/>
        <v>3</v>
      </c>
      <c r="I526" s="81" t="str">
        <f>CONCATENATE(Data!M526,"-",Data!L526)</f>
        <v>CD-BA</v>
      </c>
      <c r="N526" s="81">
        <f>IF(Data!P526,DATEDIF(Data!O526,Data!P526,"d"),0)</f>
        <v>0</v>
      </c>
      <c r="O526" s="81">
        <f>IF(Data!M526="CD",1,0)</f>
        <v>1</v>
      </c>
      <c r="P526" s="81">
        <f>IF(Data!M526="CD",0,1)</f>
        <v>0</v>
      </c>
      <c r="Q526" s="81">
        <f>IF(Data!Q526&gt;Data!P526,DATEDIF(Data!P526,Data!Q526,"d"),0)</f>
        <v>1</v>
      </c>
      <c r="R526" s="81">
        <f>IF(Data!R526&gt;Data!Q526,DATEDIF(Data!Q526,Data!R526,"d"),0)</f>
        <v>0</v>
      </c>
      <c r="X526"/>
      <c r="Y526"/>
      <c r="Z526"/>
    </row>
    <row r="527" spans="3:26" ht="16" x14ac:dyDescent="0.2">
      <c r="C527" s="80">
        <f t="shared" ca="1" si="18"/>
        <v>45959</v>
      </c>
      <c r="D527" s="81">
        <f ca="1">IF(Data!I527&lt;&gt;"",DATEDIF(Data!I527,C527,"m"),0)</f>
        <v>25</v>
      </c>
      <c r="E527" s="82">
        <f t="shared" ca="1" si="19"/>
        <v>2.0833333333333335</v>
      </c>
      <c r="I527" s="81" t="str">
        <f>CONCATENATE(Data!M527,"-",Data!L527)</f>
        <v>CD-BA</v>
      </c>
      <c r="N527" s="81">
        <f>IF(Data!P527,DATEDIF(Data!O527,Data!P527,"d"),0)</f>
        <v>0</v>
      </c>
      <c r="O527" s="81">
        <f>IF(Data!M527="CD",1,0)</f>
        <v>1</v>
      </c>
      <c r="P527" s="81">
        <f>IF(Data!M527="CD",0,1)</f>
        <v>0</v>
      </c>
      <c r="Q527" s="81">
        <f>IF(Data!Q527&gt;Data!P527,DATEDIF(Data!P527,Data!Q527,"d"),0)</f>
        <v>4</v>
      </c>
      <c r="R527" s="81">
        <f>IF(Data!R527&gt;Data!Q527,DATEDIF(Data!Q527,Data!R527,"d"),0)</f>
        <v>9</v>
      </c>
      <c r="X527"/>
      <c r="Y527"/>
      <c r="Z527"/>
    </row>
    <row r="528" spans="3:26" ht="16" x14ac:dyDescent="0.2">
      <c r="C528" s="80">
        <f t="shared" ca="1" si="18"/>
        <v>45959</v>
      </c>
      <c r="D528" s="81">
        <f ca="1">IF(Data!I528&lt;&gt;"",DATEDIF(Data!I528,C528,"m"),0)</f>
        <v>19</v>
      </c>
      <c r="E528" s="82">
        <f t="shared" ca="1" si="19"/>
        <v>1.5833333333333333</v>
      </c>
      <c r="I528" s="81" t="str">
        <f>CONCATENATE(Data!M528,"-",Data!L528)</f>
        <v>CD-BA</v>
      </c>
      <c r="N528" s="81">
        <f>IF(Data!P528,DATEDIF(Data!O528,Data!P528,"d"),0)</f>
        <v>0</v>
      </c>
      <c r="O528" s="81">
        <f>IF(Data!M528="CD",1,0)</f>
        <v>1</v>
      </c>
      <c r="P528" s="81">
        <f>IF(Data!M528="CD",0,1)</f>
        <v>0</v>
      </c>
      <c r="Q528" s="81">
        <f>IF(Data!Q528&gt;Data!P528,DATEDIF(Data!P528,Data!Q528,"d"),0)</f>
        <v>0</v>
      </c>
      <c r="R528" s="81">
        <f>IF(Data!R528&gt;Data!Q528,DATEDIF(Data!Q528,Data!R528,"d"),0)</f>
        <v>3</v>
      </c>
      <c r="X528"/>
      <c r="Y528"/>
      <c r="Z528"/>
    </row>
    <row r="529" spans="3:26" ht="16" x14ac:dyDescent="0.2">
      <c r="C529" s="80">
        <f t="shared" ca="1" si="18"/>
        <v>45959</v>
      </c>
      <c r="D529" s="81">
        <f ca="1">IF(Data!I529&lt;&gt;"",DATEDIF(Data!I529,C529,"m"),0)</f>
        <v>91</v>
      </c>
      <c r="E529" s="82">
        <f t="shared" ca="1" si="19"/>
        <v>7.583333333333333</v>
      </c>
      <c r="I529" s="81" t="str">
        <f>CONCATENATE(Data!M529,"-",Data!L529)</f>
        <v>CD-BA</v>
      </c>
      <c r="N529" s="81">
        <f>IF(Data!P529,DATEDIF(Data!O529,Data!P529,"d"),0)</f>
        <v>0</v>
      </c>
      <c r="O529" s="81">
        <f>IF(Data!M529="CD",1,0)</f>
        <v>1</v>
      </c>
      <c r="P529" s="81">
        <f>IF(Data!M529="CD",0,1)</f>
        <v>0</v>
      </c>
      <c r="Q529" s="81">
        <f>IF(Data!Q529&gt;Data!P529,DATEDIF(Data!P529,Data!Q529,"d"),0)</f>
        <v>0</v>
      </c>
      <c r="R529" s="81">
        <f>IF(Data!R529&gt;Data!Q529,DATEDIF(Data!Q529,Data!R529,"d"),0)</f>
        <v>11</v>
      </c>
      <c r="X529"/>
      <c r="Y529"/>
      <c r="Z529"/>
    </row>
    <row r="530" spans="3:26" ht="16" x14ac:dyDescent="0.2">
      <c r="C530" s="80">
        <f t="shared" ca="1" si="18"/>
        <v>45959</v>
      </c>
      <c r="D530" s="81">
        <f ca="1">IF(Data!I530&lt;&gt;"",DATEDIF(Data!I530,C530,"m"),0)</f>
        <v>96</v>
      </c>
      <c r="E530" s="82">
        <f t="shared" ca="1" si="19"/>
        <v>8</v>
      </c>
      <c r="I530" s="81" t="str">
        <f>CONCATENATE(Data!M530,"-",Data!L530)</f>
        <v>CD-BA</v>
      </c>
      <c r="N530" s="81">
        <f>IF(Data!P530,DATEDIF(Data!O530,Data!P530,"d"),0)</f>
        <v>342</v>
      </c>
      <c r="O530" s="81">
        <f>IF(Data!M530="CD",1,0)</f>
        <v>1</v>
      </c>
      <c r="P530" s="81">
        <f>IF(Data!M530="CD",0,1)</f>
        <v>0</v>
      </c>
      <c r="Q530" s="81">
        <f>IF(Data!Q530&gt;Data!P530,DATEDIF(Data!P530,Data!Q530,"d"),0)</f>
        <v>0</v>
      </c>
      <c r="R530" s="81">
        <f>IF(Data!R530&gt;Data!Q530,DATEDIF(Data!Q530,Data!R530,"d"),0)</f>
        <v>3</v>
      </c>
      <c r="X530"/>
      <c r="Y530"/>
      <c r="Z530"/>
    </row>
    <row r="531" spans="3:26" ht="16" x14ac:dyDescent="0.2">
      <c r="C531" s="80">
        <f t="shared" ca="1" si="18"/>
        <v>45959</v>
      </c>
      <c r="D531" s="81">
        <f ca="1">IF(Data!I531&lt;&gt;"",DATEDIF(Data!I531,C531,"m"),0)</f>
        <v>50</v>
      </c>
      <c r="E531" s="82">
        <f t="shared" ca="1" si="19"/>
        <v>4.166666666666667</v>
      </c>
      <c r="I531" s="81" t="str">
        <f>CONCATENATE(Data!M531,"-",Data!L531)</f>
        <v>CD-BA</v>
      </c>
      <c r="N531" s="81">
        <f>IF(Data!P531,DATEDIF(Data!O531,Data!P531,"d"),0)</f>
        <v>0</v>
      </c>
      <c r="O531" s="81">
        <f>IF(Data!M531="CD",1,0)</f>
        <v>1</v>
      </c>
      <c r="P531" s="81">
        <f>IF(Data!M531="CD",0,1)</f>
        <v>0</v>
      </c>
      <c r="Q531" s="81">
        <f>IF(Data!Q531&gt;Data!P531,DATEDIF(Data!P531,Data!Q531,"d"),0)</f>
        <v>13</v>
      </c>
      <c r="R531" s="81">
        <f>IF(Data!R531&gt;Data!Q531,DATEDIF(Data!Q531,Data!R531,"d"),0)</f>
        <v>14</v>
      </c>
      <c r="X531"/>
      <c r="Y531"/>
      <c r="Z531"/>
    </row>
    <row r="532" spans="3:26" ht="16" x14ac:dyDescent="0.2">
      <c r="C532" s="80">
        <f t="shared" ca="1" si="18"/>
        <v>45959</v>
      </c>
      <c r="D532" s="81">
        <f ca="1">IF(Data!I532&lt;&gt;"",DATEDIF(Data!I532,C532,"m"),0)</f>
        <v>90</v>
      </c>
      <c r="E532" s="82">
        <f t="shared" ca="1" si="19"/>
        <v>7.5</v>
      </c>
      <c r="I532" s="81" t="str">
        <f>CONCATENATE(Data!M532,"-",Data!L532)</f>
        <v>CD-BA</v>
      </c>
      <c r="N532" s="81">
        <f>IF(Data!P532,DATEDIF(Data!O532,Data!P532,"d"),0)</f>
        <v>0</v>
      </c>
      <c r="O532" s="81">
        <f>IF(Data!M532="CD",1,0)</f>
        <v>1</v>
      </c>
      <c r="P532" s="81">
        <f>IF(Data!M532="CD",0,1)</f>
        <v>0</v>
      </c>
      <c r="Q532" s="81">
        <f>IF(Data!Q532&gt;Data!P532,DATEDIF(Data!P532,Data!Q532,"d"),0)</f>
        <v>4</v>
      </c>
      <c r="R532" s="81">
        <f>IF(Data!R532&gt;Data!Q532,DATEDIF(Data!Q532,Data!R532,"d"),0)</f>
        <v>4</v>
      </c>
      <c r="X532"/>
      <c r="Y532"/>
      <c r="Z532"/>
    </row>
    <row r="533" spans="3:26" ht="16" x14ac:dyDescent="0.2">
      <c r="C533" s="80">
        <f t="shared" ca="1" si="18"/>
        <v>45959</v>
      </c>
      <c r="D533" s="81">
        <f ca="1">IF(Data!I533&lt;&gt;"",DATEDIF(Data!I533,C533,"m"),0)</f>
        <v>20</v>
      </c>
      <c r="E533" s="82">
        <f t="shared" ca="1" si="19"/>
        <v>1.6666666666666667</v>
      </c>
      <c r="I533" s="81" t="str">
        <f>CONCATENATE(Data!M533,"-",Data!L533)</f>
        <v>CD-BA</v>
      </c>
      <c r="N533" s="81">
        <f>IF(Data!P533,DATEDIF(Data!O533,Data!P533,"d"),0)</f>
        <v>0</v>
      </c>
      <c r="O533" s="81">
        <f>IF(Data!M533="CD",1,0)</f>
        <v>1</v>
      </c>
      <c r="P533" s="81">
        <f>IF(Data!M533="CD",0,1)</f>
        <v>0</v>
      </c>
      <c r="Q533" s="81">
        <f>IF(Data!Q533&gt;Data!P533,DATEDIF(Data!P533,Data!Q533,"d"),0)</f>
        <v>0</v>
      </c>
      <c r="R533" s="81">
        <f>IF(Data!R533&gt;Data!Q533,DATEDIF(Data!Q533,Data!R533,"d"),0)</f>
        <v>5</v>
      </c>
      <c r="X533"/>
      <c r="Y533"/>
      <c r="Z533"/>
    </row>
    <row r="534" spans="3:26" ht="16" x14ac:dyDescent="0.2">
      <c r="C534" s="80">
        <f t="shared" ca="1" si="18"/>
        <v>45959</v>
      </c>
      <c r="D534" s="81">
        <f ca="1">IF(Data!I534&lt;&gt;"",DATEDIF(Data!I534,C534,"m"),0)</f>
        <v>76</v>
      </c>
      <c r="E534" s="82">
        <f t="shared" ca="1" si="19"/>
        <v>6.333333333333333</v>
      </c>
      <c r="I534" s="81" t="str">
        <f>CONCATENATE(Data!M534,"-",Data!L534)</f>
        <v>CD-BA</v>
      </c>
      <c r="N534" s="81">
        <f>IF(Data!P534,DATEDIF(Data!O534,Data!P534,"d"),0)</f>
        <v>0</v>
      </c>
      <c r="O534" s="81">
        <f>IF(Data!M534="CD",1,0)</f>
        <v>1</v>
      </c>
      <c r="P534" s="81">
        <f>IF(Data!M534="CD",0,1)</f>
        <v>0</v>
      </c>
      <c r="Q534" s="81">
        <f>IF(Data!Q534&gt;Data!P534,DATEDIF(Data!P534,Data!Q534,"d"),0)</f>
        <v>11</v>
      </c>
      <c r="R534" s="81">
        <f>IF(Data!R534&gt;Data!Q534,DATEDIF(Data!Q534,Data!R534,"d"),0)</f>
        <v>9</v>
      </c>
      <c r="X534"/>
      <c r="Y534"/>
      <c r="Z534"/>
    </row>
    <row r="535" spans="3:26" ht="16" x14ac:dyDescent="0.2">
      <c r="C535" s="80">
        <f t="shared" ca="1" si="18"/>
        <v>45959</v>
      </c>
      <c r="D535" s="81">
        <f ca="1">IF(Data!I535&lt;&gt;"",DATEDIF(Data!I535,C535,"m"),0)</f>
        <v>37</v>
      </c>
      <c r="E535" s="82">
        <f t="shared" ca="1" si="19"/>
        <v>3.0833333333333335</v>
      </c>
      <c r="I535" s="81" t="str">
        <f>CONCATENATE(Data!M535,"-",Data!L535)</f>
        <v>CD-BA</v>
      </c>
      <c r="N535" s="81">
        <f>IF(Data!P535,DATEDIF(Data!O535,Data!P535,"d"),0)</f>
        <v>243</v>
      </c>
      <c r="O535" s="81">
        <f>IF(Data!M535="CD",1,0)</f>
        <v>1</v>
      </c>
      <c r="P535" s="81">
        <f>IF(Data!M535="CD",0,1)</f>
        <v>0</v>
      </c>
      <c r="Q535" s="81">
        <f>IF(Data!Q535&gt;Data!P535,DATEDIF(Data!P535,Data!Q535,"d"),0)</f>
        <v>0</v>
      </c>
      <c r="R535" s="81">
        <f>IF(Data!R535&gt;Data!Q535,DATEDIF(Data!Q535,Data!R535,"d"),0)</f>
        <v>15</v>
      </c>
      <c r="X535"/>
      <c r="Y535"/>
      <c r="Z535"/>
    </row>
    <row r="536" spans="3:26" ht="16" x14ac:dyDescent="0.2">
      <c r="C536" s="80">
        <f t="shared" ca="1" si="18"/>
        <v>45959</v>
      </c>
      <c r="D536" s="81">
        <f ca="1">IF(Data!I536&lt;&gt;"",DATEDIF(Data!I536,C536,"m"),0)</f>
        <v>16</v>
      </c>
      <c r="E536" s="82">
        <f t="shared" ca="1" si="19"/>
        <v>1.3333333333333333</v>
      </c>
      <c r="I536" s="81" t="str">
        <f>CONCATENATE(Data!M536,"-",Data!L536)</f>
        <v>CD-BA</v>
      </c>
      <c r="N536" s="81">
        <f>IF(Data!P536,DATEDIF(Data!O536,Data!P536,"d"),0)</f>
        <v>75</v>
      </c>
      <c r="O536" s="81">
        <f>IF(Data!M536="CD",1,0)</f>
        <v>1</v>
      </c>
      <c r="P536" s="81">
        <f>IF(Data!M536="CD",0,1)</f>
        <v>0</v>
      </c>
      <c r="Q536" s="81">
        <f>IF(Data!Q536&gt;Data!P536,DATEDIF(Data!P536,Data!Q536,"d"),0)</f>
        <v>0</v>
      </c>
      <c r="R536" s="81">
        <f>IF(Data!R536&gt;Data!Q536,DATEDIF(Data!Q536,Data!R536,"d"),0)</f>
        <v>11</v>
      </c>
      <c r="X536"/>
      <c r="Y536"/>
      <c r="Z536"/>
    </row>
    <row r="537" spans="3:26" ht="16" x14ac:dyDescent="0.2">
      <c r="C537" s="80">
        <f t="shared" ca="1" si="18"/>
        <v>45959</v>
      </c>
      <c r="D537" s="81">
        <f>IF(Data!I537&lt;&gt;"",DATEDIF(Data!I537,C537,"m"),0)</f>
        <v>0</v>
      </c>
      <c r="E537" s="82">
        <f t="shared" si="19"/>
        <v>0</v>
      </c>
      <c r="I537" s="81" t="str">
        <f>CONCATENATE(Data!M537,"-",Data!L537)</f>
        <v>CD-BA</v>
      </c>
      <c r="N537" s="81">
        <f>IF(Data!P537,DATEDIF(Data!O537,Data!P537,"d"),0)</f>
        <v>0</v>
      </c>
      <c r="O537" s="81">
        <f>IF(Data!M537="CD",1,0)</f>
        <v>1</v>
      </c>
      <c r="P537" s="81">
        <f>IF(Data!M537="CD",0,1)</f>
        <v>0</v>
      </c>
      <c r="Q537" s="81">
        <f>IF(Data!Q537&gt;Data!P537,DATEDIF(Data!P537,Data!Q537,"d"),0)</f>
        <v>18</v>
      </c>
      <c r="R537" s="81">
        <f>IF(Data!R537&gt;Data!Q537,DATEDIF(Data!Q537,Data!R537,"d"),0)</f>
        <v>56</v>
      </c>
      <c r="X537"/>
      <c r="Y537"/>
      <c r="Z537"/>
    </row>
    <row r="538" spans="3:26" ht="16" x14ac:dyDescent="0.2">
      <c r="C538" s="80">
        <f t="shared" ca="1" si="18"/>
        <v>45959</v>
      </c>
      <c r="D538" s="81">
        <f ca="1">IF(Data!I538&lt;&gt;"",DATEDIF(Data!I538,C538,"m"),0)</f>
        <v>21</v>
      </c>
      <c r="E538" s="82">
        <f t="shared" ca="1" si="19"/>
        <v>1.75</v>
      </c>
      <c r="I538" s="81" t="str">
        <f>CONCATENATE(Data!M538,"-",Data!L538)</f>
        <v>CD-BA</v>
      </c>
      <c r="N538" s="81">
        <f>IF(Data!P538,DATEDIF(Data!O538,Data!P538,"d"),0)</f>
        <v>0</v>
      </c>
      <c r="O538" s="81">
        <f>IF(Data!M538="CD",1,0)</f>
        <v>1</v>
      </c>
      <c r="P538" s="81">
        <f>IF(Data!M538="CD",0,1)</f>
        <v>0</v>
      </c>
      <c r="Q538" s="81">
        <f>IF(Data!Q538&gt;Data!P538,DATEDIF(Data!P538,Data!Q538,"d"),0)</f>
        <v>22</v>
      </c>
      <c r="R538" s="81">
        <f>IF(Data!R538&gt;Data!Q538,DATEDIF(Data!Q538,Data!R538,"d"),0)</f>
        <v>12</v>
      </c>
      <c r="X538"/>
      <c r="Y538"/>
      <c r="Z538"/>
    </row>
    <row r="539" spans="3:26" ht="16" x14ac:dyDescent="0.2">
      <c r="C539" s="80">
        <f t="shared" ca="1" si="18"/>
        <v>45959</v>
      </c>
      <c r="D539" s="81">
        <f ca="1">IF(Data!I539&lt;&gt;"",DATEDIF(Data!I539,C539,"m"),0)</f>
        <v>90</v>
      </c>
      <c r="E539" s="82">
        <f t="shared" ca="1" si="19"/>
        <v>7.5</v>
      </c>
      <c r="I539" s="81" t="str">
        <f>CONCATENATE(Data!M539,"-",Data!L539)</f>
        <v>CD-GE</v>
      </c>
      <c r="N539" s="81">
        <f>IF(Data!P539,DATEDIF(Data!O539,Data!P539,"d"),0)</f>
        <v>0</v>
      </c>
      <c r="O539" s="81">
        <f>IF(Data!M539="CD",1,0)</f>
        <v>1</v>
      </c>
      <c r="P539" s="81">
        <f>IF(Data!M539="CD",0,1)</f>
        <v>0</v>
      </c>
      <c r="Q539" s="81">
        <f>IF(Data!Q539&gt;Data!P539,DATEDIF(Data!P539,Data!Q539,"d"),0)</f>
        <v>2</v>
      </c>
      <c r="R539" s="81">
        <f>IF(Data!R539&gt;Data!Q539,DATEDIF(Data!Q539,Data!R539,"d"),0)</f>
        <v>6</v>
      </c>
      <c r="X539"/>
      <c r="Y539"/>
      <c r="Z539"/>
    </row>
    <row r="540" spans="3:26" ht="16" x14ac:dyDescent="0.2">
      <c r="C540" s="80">
        <f t="shared" ca="1" si="18"/>
        <v>45959</v>
      </c>
      <c r="D540" s="81">
        <f ca="1">IF(Data!I540&lt;&gt;"",DATEDIF(Data!I540,C540,"m"),0)</f>
        <v>81</v>
      </c>
      <c r="E540" s="82">
        <f t="shared" ca="1" si="19"/>
        <v>6.75</v>
      </c>
      <c r="I540" s="81" t="str">
        <f>CONCATENATE(Data!M540,"-",Data!L540)</f>
        <v>CD-GE</v>
      </c>
      <c r="N540" s="81">
        <f>IF(Data!P540,DATEDIF(Data!O540,Data!P540,"d"),0)</f>
        <v>2</v>
      </c>
      <c r="O540" s="81">
        <f>IF(Data!M540="CD",1,0)</f>
        <v>1</v>
      </c>
      <c r="P540" s="81">
        <f>IF(Data!M540="CD",0,1)</f>
        <v>0</v>
      </c>
      <c r="Q540" s="81">
        <f>IF(Data!Q540&gt;Data!P540,DATEDIF(Data!P540,Data!Q540,"d"),0)</f>
        <v>0</v>
      </c>
      <c r="R540" s="81">
        <f>IF(Data!R540&gt;Data!Q540,DATEDIF(Data!Q540,Data!R540,"d"),0)</f>
        <v>3</v>
      </c>
      <c r="X540"/>
      <c r="Y540"/>
      <c r="Z540"/>
    </row>
    <row r="541" spans="3:26" ht="16" x14ac:dyDescent="0.2">
      <c r="C541" s="80">
        <f t="shared" ca="1" si="18"/>
        <v>45959</v>
      </c>
      <c r="D541" s="81">
        <f ca="1">IF(Data!I541&lt;&gt;"",DATEDIF(Data!I541,C541,"m"),0)</f>
        <v>65</v>
      </c>
      <c r="E541" s="82">
        <f t="shared" ca="1" si="19"/>
        <v>5.416666666666667</v>
      </c>
      <c r="I541" s="81" t="str">
        <f>CONCATENATE(Data!M541,"-",Data!L541)</f>
        <v>CD-GE</v>
      </c>
      <c r="N541" s="81">
        <f>IF(Data!P541,DATEDIF(Data!O541,Data!P541,"d"),0)</f>
        <v>155</v>
      </c>
      <c r="O541" s="81">
        <f>IF(Data!M541="CD",1,0)</f>
        <v>1</v>
      </c>
      <c r="P541" s="81">
        <f>IF(Data!M541="CD",0,1)</f>
        <v>0</v>
      </c>
      <c r="Q541" s="81">
        <f>IF(Data!Q541&gt;Data!P541,DATEDIF(Data!P541,Data!Q541,"d"),0)</f>
        <v>0</v>
      </c>
      <c r="R541" s="81">
        <f>IF(Data!R541&gt;Data!Q541,DATEDIF(Data!Q541,Data!R541,"d"),0)</f>
        <v>2</v>
      </c>
      <c r="X541"/>
      <c r="Y541"/>
      <c r="Z541"/>
    </row>
    <row r="542" spans="3:26" ht="16" x14ac:dyDescent="0.2">
      <c r="C542" s="80">
        <f t="shared" ca="1" si="18"/>
        <v>45959</v>
      </c>
      <c r="D542" s="81">
        <f ca="1">IF(Data!I542&lt;&gt;"",DATEDIF(Data!I542,C542,"m"),0)</f>
        <v>51</v>
      </c>
      <c r="E542" s="82">
        <f t="shared" ca="1" si="19"/>
        <v>4.25</v>
      </c>
      <c r="I542" s="81" t="str">
        <f>CONCATENATE(Data!M542,"-",Data!L542)</f>
        <v>CD-BA</v>
      </c>
      <c r="N542" s="81">
        <f>IF(Data!P542,DATEDIF(Data!O542,Data!P542,"d"),0)</f>
        <v>345</v>
      </c>
      <c r="O542" s="81">
        <f>IF(Data!M542="CD",1,0)</f>
        <v>1</v>
      </c>
      <c r="P542" s="81">
        <f>IF(Data!M542="CD",0,1)</f>
        <v>0</v>
      </c>
      <c r="Q542" s="81">
        <f>IF(Data!Q542&gt;Data!P542,DATEDIF(Data!P542,Data!Q542,"d"),0)</f>
        <v>0</v>
      </c>
      <c r="R542" s="81">
        <f>IF(Data!R542&gt;Data!Q542,DATEDIF(Data!Q542,Data!R542,"d"),0)</f>
        <v>10</v>
      </c>
      <c r="X542"/>
      <c r="Y542"/>
      <c r="Z542"/>
    </row>
    <row r="543" spans="3:26" ht="16" x14ac:dyDescent="0.2">
      <c r="C543" s="80">
        <f t="shared" ca="1" si="18"/>
        <v>45959</v>
      </c>
      <c r="D543" s="81">
        <f>IF(Data!I543&lt;&gt;"",DATEDIF(Data!I543,C543,"m"),0)</f>
        <v>0</v>
      </c>
      <c r="E543" s="82">
        <f t="shared" si="19"/>
        <v>0</v>
      </c>
      <c r="I543" s="81" t="str">
        <f>CONCATENATE(Data!M543,"-",Data!L543)</f>
        <v>CD-GE</v>
      </c>
      <c r="N543" s="81">
        <f>IF(Data!P543,DATEDIF(Data!O543,Data!P543,"d"),0)</f>
        <v>1</v>
      </c>
      <c r="O543" s="81">
        <f>IF(Data!M543="CD",1,0)</f>
        <v>1</v>
      </c>
      <c r="P543" s="81">
        <f>IF(Data!M543="CD",0,1)</f>
        <v>0</v>
      </c>
      <c r="Q543" s="81">
        <f>IF(Data!Q543&gt;Data!P543,DATEDIF(Data!P543,Data!Q543,"d"),0)</f>
        <v>16</v>
      </c>
      <c r="R543" s="81">
        <f>IF(Data!R543&gt;Data!Q543,DATEDIF(Data!Q543,Data!R543,"d"),0)</f>
        <v>0</v>
      </c>
      <c r="X543"/>
      <c r="Y543"/>
      <c r="Z543"/>
    </row>
    <row r="544" spans="3:26" ht="16" x14ac:dyDescent="0.2">
      <c r="C544" s="80">
        <f t="shared" ca="1" si="18"/>
        <v>45959</v>
      </c>
      <c r="D544" s="81">
        <f ca="1">IF(Data!I544&lt;&gt;"",DATEDIF(Data!I544,C544,"m"),0)</f>
        <v>35</v>
      </c>
      <c r="E544" s="82">
        <f t="shared" ca="1" si="19"/>
        <v>2.9166666666666665</v>
      </c>
      <c r="I544" s="81" t="str">
        <f>CONCATENATE(Data!M544,"-",Data!L544)</f>
        <v>CD-BA</v>
      </c>
      <c r="N544" s="81">
        <f>IF(Data!P544,DATEDIF(Data!O544,Data!P544,"d"),0)</f>
        <v>0</v>
      </c>
      <c r="O544" s="81">
        <f>IF(Data!M544="CD",1,0)</f>
        <v>1</v>
      </c>
      <c r="P544" s="81">
        <f>IF(Data!M544="CD",0,1)</f>
        <v>0</v>
      </c>
      <c r="Q544" s="81">
        <f>IF(Data!Q544&gt;Data!P544,DATEDIF(Data!P544,Data!Q544,"d"),0)</f>
        <v>15</v>
      </c>
      <c r="R544" s="81">
        <f>IF(Data!R544&gt;Data!Q544,DATEDIF(Data!Q544,Data!R544,"d"),0)</f>
        <v>21</v>
      </c>
      <c r="X544"/>
      <c r="Y544"/>
      <c r="Z544"/>
    </row>
    <row r="545" spans="3:26" ht="16" x14ac:dyDescent="0.2">
      <c r="C545" s="80">
        <f t="shared" ca="1" si="18"/>
        <v>45959</v>
      </c>
      <c r="D545" s="81">
        <f ca="1">IF(Data!I545&lt;&gt;"",DATEDIF(Data!I545,C545,"m"),0)</f>
        <v>34</v>
      </c>
      <c r="E545" s="82">
        <f t="shared" ca="1" si="19"/>
        <v>2.8333333333333335</v>
      </c>
      <c r="I545" s="81" t="str">
        <f>CONCATENATE(Data!M545,"-",Data!L545)</f>
        <v>CD-BA</v>
      </c>
      <c r="N545" s="81">
        <f>IF(Data!P545,DATEDIF(Data!O545,Data!P545,"d"),0)</f>
        <v>0</v>
      </c>
      <c r="O545" s="81">
        <f>IF(Data!M545="CD",1,0)</f>
        <v>1</v>
      </c>
      <c r="P545" s="81">
        <f>IF(Data!M545="CD",0,1)</f>
        <v>0</v>
      </c>
      <c r="Q545" s="81">
        <f>IF(Data!Q545&gt;Data!P545,DATEDIF(Data!P545,Data!Q545,"d"),0)</f>
        <v>3</v>
      </c>
      <c r="R545" s="81">
        <f>IF(Data!R545&gt;Data!Q545,DATEDIF(Data!Q545,Data!R545,"d"),0)</f>
        <v>6</v>
      </c>
      <c r="X545"/>
      <c r="Y545"/>
      <c r="Z545"/>
    </row>
    <row r="546" spans="3:26" ht="16" x14ac:dyDescent="0.2">
      <c r="C546" s="80">
        <f t="shared" ca="1" si="18"/>
        <v>45959</v>
      </c>
      <c r="D546" s="81">
        <f ca="1">IF(Data!I546&lt;&gt;"",DATEDIF(Data!I546,C546,"m"),0)</f>
        <v>167</v>
      </c>
      <c r="E546" s="82">
        <f t="shared" ca="1" si="19"/>
        <v>13.916666666666666</v>
      </c>
      <c r="I546" s="81" t="str">
        <f>CONCATENATE(Data!M546,"-",Data!L546)</f>
        <v>CD-GE</v>
      </c>
      <c r="N546" s="81">
        <f>IF(Data!P546,DATEDIF(Data!O546,Data!P546,"d"),0)</f>
        <v>3</v>
      </c>
      <c r="O546" s="81">
        <f>IF(Data!M546="CD",1,0)</f>
        <v>1</v>
      </c>
      <c r="P546" s="81">
        <f>IF(Data!M546="CD",0,1)</f>
        <v>0</v>
      </c>
      <c r="Q546" s="81">
        <f>IF(Data!Q546&gt;Data!P546,DATEDIF(Data!P546,Data!Q546,"d"),0)</f>
        <v>14</v>
      </c>
      <c r="R546" s="81">
        <f>IF(Data!R546&gt;Data!Q546,DATEDIF(Data!Q546,Data!R546,"d"),0)</f>
        <v>18</v>
      </c>
      <c r="X546"/>
      <c r="Y546"/>
      <c r="Z546"/>
    </row>
    <row r="547" spans="3:26" ht="16" x14ac:dyDescent="0.2">
      <c r="C547" s="80">
        <f t="shared" ca="1" si="18"/>
        <v>45959</v>
      </c>
      <c r="D547" s="81">
        <f>IF(Data!I547&lt;&gt;"",DATEDIF(Data!I547,C547,"m"),0)</f>
        <v>0</v>
      </c>
      <c r="E547" s="82">
        <f t="shared" si="19"/>
        <v>0</v>
      </c>
      <c r="I547" s="81" t="str">
        <f>CONCATENATE(Data!M547,"-",Data!L547)</f>
        <v>CD-BA</v>
      </c>
      <c r="N547" s="81">
        <f>IF(Data!P547,DATEDIF(Data!O547,Data!P547,"d"),0)</f>
        <v>0</v>
      </c>
      <c r="O547" s="81">
        <f>IF(Data!M547="CD",1,0)</f>
        <v>1</v>
      </c>
      <c r="P547" s="81">
        <f>IF(Data!M547="CD",0,1)</f>
        <v>0</v>
      </c>
      <c r="Q547" s="81">
        <f>IF(Data!Q547&gt;Data!P547,DATEDIF(Data!P547,Data!Q547,"d"),0)</f>
        <v>10</v>
      </c>
      <c r="R547" s="81">
        <f>IF(Data!R547&gt;Data!Q547,DATEDIF(Data!Q547,Data!R547,"d"),0)</f>
        <v>14</v>
      </c>
      <c r="X547"/>
      <c r="Y547"/>
      <c r="Z547"/>
    </row>
    <row r="548" spans="3:26" ht="16" x14ac:dyDescent="0.2">
      <c r="C548" s="80">
        <f t="shared" ca="1" si="18"/>
        <v>45959</v>
      </c>
      <c r="D548" s="81">
        <f>IF(Data!I548&lt;&gt;"",DATEDIF(Data!I548,C548,"m"),0)</f>
        <v>0</v>
      </c>
      <c r="E548" s="82">
        <f t="shared" si="19"/>
        <v>0</v>
      </c>
      <c r="I548" s="81" t="str">
        <f>CONCATENATE(Data!M548,"-",Data!L548)</f>
        <v>CD-BA</v>
      </c>
      <c r="N548" s="81">
        <f>IF(Data!P548,DATEDIF(Data!O548,Data!P548,"d"),0)</f>
        <v>0</v>
      </c>
      <c r="O548" s="81">
        <f>IF(Data!M548="CD",1,0)</f>
        <v>1</v>
      </c>
      <c r="P548" s="81">
        <f>IF(Data!M548="CD",0,1)</f>
        <v>0</v>
      </c>
      <c r="Q548" s="81">
        <f>IF(Data!Q548&gt;Data!P548,DATEDIF(Data!P548,Data!Q548,"d"),0)</f>
        <v>40</v>
      </c>
      <c r="R548" s="81">
        <f>IF(Data!R548&gt;Data!Q548,DATEDIF(Data!Q548,Data!R548,"d"),0)</f>
        <v>24</v>
      </c>
      <c r="X548"/>
      <c r="Y548"/>
      <c r="Z548"/>
    </row>
    <row r="549" spans="3:26" ht="16" x14ac:dyDescent="0.2">
      <c r="C549" s="80">
        <f t="shared" ca="1" si="18"/>
        <v>45959</v>
      </c>
      <c r="D549" s="81">
        <f>IF(Data!I549&lt;&gt;"",DATEDIF(Data!I549,C549,"m"),0)</f>
        <v>0</v>
      </c>
      <c r="E549" s="82">
        <f t="shared" si="19"/>
        <v>0</v>
      </c>
      <c r="I549" s="81" t="str">
        <f>CONCATENATE(Data!M549,"-",Data!L549)</f>
        <v>CD-BA</v>
      </c>
      <c r="N549" s="81">
        <f>IF(Data!P549,DATEDIF(Data!O549,Data!P549,"d"),0)</f>
        <v>0</v>
      </c>
      <c r="O549" s="81">
        <f>IF(Data!M549="CD",1,0)</f>
        <v>1</v>
      </c>
      <c r="P549" s="81">
        <f>IF(Data!M549="CD",0,1)</f>
        <v>0</v>
      </c>
      <c r="Q549" s="81">
        <f>IF(Data!Q549&gt;Data!P549,DATEDIF(Data!P549,Data!Q549,"d"),0)</f>
        <v>5</v>
      </c>
      <c r="R549" s="81">
        <f>IF(Data!R549&gt;Data!Q549,DATEDIF(Data!Q549,Data!R549,"d"),0)</f>
        <v>7</v>
      </c>
      <c r="X549"/>
      <c r="Y549"/>
      <c r="Z549"/>
    </row>
    <row r="550" spans="3:26" ht="16" x14ac:dyDescent="0.2">
      <c r="C550" s="80">
        <f t="shared" ca="1" si="18"/>
        <v>45959</v>
      </c>
      <c r="D550" s="81">
        <f>IF(Data!I550&lt;&gt;"",DATEDIF(Data!I550,C550,"m"),0)</f>
        <v>0</v>
      </c>
      <c r="E550" s="82">
        <f t="shared" si="19"/>
        <v>0</v>
      </c>
      <c r="I550" s="81" t="str">
        <f>CONCATENATE(Data!M550,"-",Data!L550)</f>
        <v>CD-BA</v>
      </c>
      <c r="N550" s="81">
        <f>IF(Data!P550,DATEDIF(Data!O550,Data!P550,"d"),0)</f>
        <v>0</v>
      </c>
      <c r="O550" s="81">
        <f>IF(Data!M550="CD",1,0)</f>
        <v>1</v>
      </c>
      <c r="P550" s="81">
        <f>IF(Data!M550="CD",0,1)</f>
        <v>0</v>
      </c>
      <c r="Q550" s="81">
        <f>IF(Data!Q550&gt;Data!P550,DATEDIF(Data!P550,Data!Q550,"d"),0)</f>
        <v>10</v>
      </c>
      <c r="R550" s="81">
        <f>IF(Data!R550&gt;Data!Q550,DATEDIF(Data!Q550,Data!R550,"d"),0)</f>
        <v>7</v>
      </c>
      <c r="X550"/>
      <c r="Y550"/>
      <c r="Z550"/>
    </row>
    <row r="551" spans="3:26" ht="16" x14ac:dyDescent="0.2">
      <c r="C551" s="80">
        <f t="shared" ca="1" si="18"/>
        <v>45959</v>
      </c>
      <c r="D551" s="81">
        <f>IF(Data!I551&lt;&gt;"",DATEDIF(Data!I551,C551,"m"),0)</f>
        <v>0</v>
      </c>
      <c r="E551" s="82">
        <f t="shared" si="19"/>
        <v>0</v>
      </c>
      <c r="I551" s="81" t="str">
        <f>CONCATENATE(Data!M551,"-",Data!L551)</f>
        <v>CD-BA</v>
      </c>
      <c r="N551" s="81">
        <f>IF(Data!P551,DATEDIF(Data!O551,Data!P551,"d"),0)</f>
        <v>0</v>
      </c>
      <c r="O551" s="81">
        <f>IF(Data!M551="CD",1,0)</f>
        <v>1</v>
      </c>
      <c r="P551" s="81">
        <f>IF(Data!M551="CD",0,1)</f>
        <v>0</v>
      </c>
      <c r="Q551" s="81">
        <f>IF(Data!Q551&gt;Data!P551,DATEDIF(Data!P551,Data!Q551,"d"),0)</f>
        <v>5</v>
      </c>
      <c r="R551" s="81">
        <f>IF(Data!R551&gt;Data!Q551,DATEDIF(Data!Q551,Data!R551,"d"),0)</f>
        <v>5</v>
      </c>
      <c r="X551"/>
      <c r="Y551"/>
      <c r="Z551"/>
    </row>
    <row r="552" spans="3:26" ht="16" x14ac:dyDescent="0.2">
      <c r="C552" s="80">
        <f t="shared" ca="1" si="18"/>
        <v>45959</v>
      </c>
      <c r="D552" s="81">
        <f>IF(Data!I552&lt;&gt;"",DATEDIF(Data!I552,C552,"m"),0)</f>
        <v>0</v>
      </c>
      <c r="E552" s="82">
        <f t="shared" si="19"/>
        <v>0</v>
      </c>
      <c r="I552" s="81" t="str">
        <f>CONCATENATE(Data!M552,"-",Data!L552)</f>
        <v>CD-BA</v>
      </c>
      <c r="N552" s="81">
        <f>IF(Data!P552,DATEDIF(Data!O552,Data!P552,"d"),0)</f>
        <v>0</v>
      </c>
      <c r="O552" s="81">
        <f>IF(Data!M552="CD",1,0)</f>
        <v>1</v>
      </c>
      <c r="P552" s="81">
        <f>IF(Data!M552="CD",0,1)</f>
        <v>0</v>
      </c>
      <c r="Q552" s="81">
        <f>IF(Data!Q552&gt;Data!P552,DATEDIF(Data!P552,Data!Q552,"d"),0)</f>
        <v>5</v>
      </c>
      <c r="R552" s="81">
        <f>IF(Data!R552&gt;Data!Q552,DATEDIF(Data!Q552,Data!R552,"d"),0)</f>
        <v>7</v>
      </c>
      <c r="X552"/>
      <c r="Y552"/>
      <c r="Z552"/>
    </row>
    <row r="553" spans="3:26" ht="16" x14ac:dyDescent="0.2">
      <c r="C553" s="80">
        <f t="shared" ca="1" si="18"/>
        <v>45959</v>
      </c>
      <c r="D553" s="81">
        <f>IF(Data!I553&lt;&gt;"",DATEDIF(Data!I553,C553,"m"),0)</f>
        <v>0</v>
      </c>
      <c r="E553" s="82">
        <f t="shared" si="19"/>
        <v>0</v>
      </c>
      <c r="I553" s="81" t="str">
        <f>CONCATENATE(Data!M553,"-",Data!L553)</f>
        <v>CD-BA</v>
      </c>
      <c r="N553" s="81">
        <f>IF(Data!P553,DATEDIF(Data!O553,Data!P553,"d"),0)</f>
        <v>0</v>
      </c>
      <c r="O553" s="81">
        <f>IF(Data!M553="CD",1,0)</f>
        <v>1</v>
      </c>
      <c r="P553" s="81">
        <f>IF(Data!M553="CD",0,1)</f>
        <v>0</v>
      </c>
      <c r="Q553" s="81">
        <f>IF(Data!Q553&gt;Data!P553,DATEDIF(Data!P553,Data!Q553,"d"),0)</f>
        <v>5</v>
      </c>
      <c r="R553" s="81">
        <f>IF(Data!R553&gt;Data!Q553,DATEDIF(Data!Q553,Data!R553,"d"),0)</f>
        <v>5</v>
      </c>
      <c r="X553"/>
      <c r="Y553"/>
      <c r="Z553"/>
    </row>
    <row r="554" spans="3:26" ht="16" x14ac:dyDescent="0.2">
      <c r="C554" s="80">
        <f t="shared" ca="1" si="18"/>
        <v>45959</v>
      </c>
      <c r="D554" s="81">
        <f>IF(Data!I554&lt;&gt;"",DATEDIF(Data!I554,C554,"m"),0)</f>
        <v>0</v>
      </c>
      <c r="E554" s="82">
        <f t="shared" si="19"/>
        <v>0</v>
      </c>
      <c r="I554" s="81" t="str">
        <f>CONCATENATE(Data!M554,"-",Data!L554)</f>
        <v>CD-BA</v>
      </c>
      <c r="N554" s="81">
        <f>IF(Data!P554,DATEDIF(Data!O554,Data!P554,"d"),0)</f>
        <v>0</v>
      </c>
      <c r="O554" s="81">
        <f>IF(Data!M554="CD",1,0)</f>
        <v>1</v>
      </c>
      <c r="P554" s="81">
        <f>IF(Data!M554="CD",0,1)</f>
        <v>0</v>
      </c>
      <c r="Q554" s="81">
        <f>IF(Data!Q554&gt;Data!P554,DATEDIF(Data!P554,Data!Q554,"d"),0)</f>
        <v>5</v>
      </c>
      <c r="R554" s="81">
        <f>IF(Data!R554&gt;Data!Q554,DATEDIF(Data!Q554,Data!R554,"d"),0)</f>
        <v>5</v>
      </c>
      <c r="X554"/>
      <c r="Y554"/>
      <c r="Z554"/>
    </row>
    <row r="555" spans="3:26" ht="16" x14ac:dyDescent="0.2">
      <c r="C555" s="80">
        <f t="shared" ca="1" si="18"/>
        <v>45959</v>
      </c>
      <c r="D555" s="81">
        <f ca="1">IF(Data!I555&lt;&gt;"",DATEDIF(Data!I555,C555,"m"),0)</f>
        <v>13</v>
      </c>
      <c r="E555" s="82">
        <f t="shared" ca="1" si="19"/>
        <v>1.0833333333333333</v>
      </c>
      <c r="I555" s="81" t="str">
        <f>CONCATENATE(Data!M555,"-",Data!L555)</f>
        <v>CD-GE</v>
      </c>
      <c r="N555" s="81">
        <f>IF(Data!P555,DATEDIF(Data!O555,Data!P555,"d"),0)</f>
        <v>7</v>
      </c>
      <c r="O555" s="81">
        <f>IF(Data!M555="CD",1,0)</f>
        <v>1</v>
      </c>
      <c r="P555" s="81">
        <f>IF(Data!M555="CD",0,1)</f>
        <v>0</v>
      </c>
      <c r="Q555" s="81">
        <f>IF(Data!Q555&gt;Data!P555,DATEDIF(Data!P555,Data!Q555,"d"),0)</f>
        <v>13</v>
      </c>
      <c r="R555" s="81">
        <f>IF(Data!R555&gt;Data!Q555,DATEDIF(Data!Q555,Data!R555,"d"),0)</f>
        <v>5</v>
      </c>
      <c r="X555"/>
      <c r="Y555"/>
      <c r="Z555"/>
    </row>
    <row r="556" spans="3:26" ht="16" x14ac:dyDescent="0.2">
      <c r="C556" s="80">
        <f t="shared" ca="1" si="18"/>
        <v>45959</v>
      </c>
      <c r="D556" s="81">
        <f>IF(Data!I556&lt;&gt;"",DATEDIF(Data!I556,C556,"m"),0)</f>
        <v>0</v>
      </c>
      <c r="E556" s="82">
        <f t="shared" si="19"/>
        <v>0</v>
      </c>
      <c r="I556" s="81" t="str">
        <f>CONCATENATE(Data!M556,"-",Data!L556)</f>
        <v>CD-BA</v>
      </c>
      <c r="N556" s="81">
        <f>IF(Data!P556,DATEDIF(Data!O556,Data!P556,"d"),0)</f>
        <v>42</v>
      </c>
      <c r="O556" s="81">
        <f>IF(Data!M556="CD",1,0)</f>
        <v>1</v>
      </c>
      <c r="P556" s="81">
        <f>IF(Data!M556="CD",0,1)</f>
        <v>0</v>
      </c>
      <c r="Q556" s="81">
        <f>IF(Data!Q556&gt;Data!P556,DATEDIF(Data!P556,Data!Q556,"d"),0)</f>
        <v>0</v>
      </c>
      <c r="R556" s="81">
        <f>IF(Data!R556&gt;Data!Q556,DATEDIF(Data!Q556,Data!R556,"d"),0)</f>
        <v>20</v>
      </c>
      <c r="X556"/>
      <c r="Y556"/>
      <c r="Z556"/>
    </row>
    <row r="557" spans="3:26" ht="16" x14ac:dyDescent="0.2">
      <c r="C557" s="80">
        <f t="shared" ca="1" si="18"/>
        <v>45959</v>
      </c>
      <c r="D557" s="81">
        <f>IF(Data!I557&lt;&gt;"",DATEDIF(Data!I557,C557,"m"),0)</f>
        <v>0</v>
      </c>
      <c r="E557" s="82">
        <f t="shared" si="19"/>
        <v>0</v>
      </c>
      <c r="I557" s="81" t="str">
        <f>CONCATENATE(Data!M557,"-",Data!L557)</f>
        <v>CD-BA</v>
      </c>
      <c r="N557" s="81">
        <f>IF(Data!P557,DATEDIF(Data!O557,Data!P557,"d"),0)</f>
        <v>0</v>
      </c>
      <c r="O557" s="81">
        <f>IF(Data!M557="CD",1,0)</f>
        <v>1</v>
      </c>
      <c r="P557" s="81">
        <f>IF(Data!M557="CD",0,1)</f>
        <v>0</v>
      </c>
      <c r="Q557" s="81">
        <f>IF(Data!Q557&gt;Data!P557,DATEDIF(Data!P557,Data!Q557,"d"),0)</f>
        <v>0</v>
      </c>
      <c r="R557" s="81">
        <f>IF(Data!R557&gt;Data!Q557,DATEDIF(Data!Q557,Data!R557,"d"),0)</f>
        <v>23</v>
      </c>
      <c r="X557"/>
      <c r="Y557"/>
      <c r="Z557"/>
    </row>
    <row r="558" spans="3:26" ht="16" x14ac:dyDescent="0.2">
      <c r="C558" s="80">
        <f t="shared" ca="1" si="18"/>
        <v>45959</v>
      </c>
      <c r="D558" s="81">
        <f>IF(Data!I558&lt;&gt;"",DATEDIF(Data!I558,C558,"m"),0)</f>
        <v>0</v>
      </c>
      <c r="E558" s="82">
        <f t="shared" si="19"/>
        <v>0</v>
      </c>
      <c r="I558" s="81" t="str">
        <f>CONCATENATE(Data!M558,"-",Data!L558)</f>
        <v>CD-BA</v>
      </c>
      <c r="N558" s="81">
        <f>IF(Data!P558,DATEDIF(Data!O558,Data!P558,"d"),0)</f>
        <v>0</v>
      </c>
      <c r="O558" s="81">
        <f>IF(Data!M558="CD",1,0)</f>
        <v>1</v>
      </c>
      <c r="P558" s="81">
        <f>IF(Data!M558="CD",0,1)</f>
        <v>0</v>
      </c>
      <c r="Q558" s="81">
        <f>IF(Data!Q558&gt;Data!P558,DATEDIF(Data!P558,Data!Q558,"d"),0)</f>
        <v>1</v>
      </c>
      <c r="R558" s="81">
        <f>IF(Data!R558&gt;Data!Q558,DATEDIF(Data!Q558,Data!R558,"d"),0)</f>
        <v>5</v>
      </c>
      <c r="X558"/>
      <c r="Y558"/>
      <c r="Z558"/>
    </row>
    <row r="559" spans="3:26" ht="16" x14ac:dyDescent="0.2">
      <c r="C559" s="80">
        <f t="shared" ca="1" si="18"/>
        <v>45959</v>
      </c>
      <c r="D559" s="81">
        <f>IF(Data!I559&lt;&gt;"",DATEDIF(Data!I559,C559,"m"),0)</f>
        <v>0</v>
      </c>
      <c r="E559" s="82">
        <f t="shared" si="19"/>
        <v>0</v>
      </c>
      <c r="I559" s="81" t="str">
        <f>CONCATENATE(Data!M559,"-",Data!L559)</f>
        <v>CD-BA</v>
      </c>
      <c r="N559" s="81">
        <f>IF(Data!P559,DATEDIF(Data!O559,Data!P559,"d"),0)</f>
        <v>347</v>
      </c>
      <c r="O559" s="81">
        <f>IF(Data!M559="CD",1,0)</f>
        <v>1</v>
      </c>
      <c r="P559" s="81">
        <f>IF(Data!M559="CD",0,1)</f>
        <v>0</v>
      </c>
      <c r="Q559" s="81">
        <f>IF(Data!Q559&gt;Data!P559,DATEDIF(Data!P559,Data!Q559,"d"),0)</f>
        <v>0</v>
      </c>
      <c r="R559" s="81">
        <f>IF(Data!R559&gt;Data!Q559,DATEDIF(Data!Q559,Data!R559,"d"),0)</f>
        <v>5</v>
      </c>
      <c r="X559"/>
      <c r="Y559"/>
      <c r="Z559"/>
    </row>
    <row r="560" spans="3:26" ht="16" x14ac:dyDescent="0.2">
      <c r="C560" s="80">
        <f t="shared" ca="1" si="18"/>
        <v>45959</v>
      </c>
      <c r="D560" s="81">
        <f>IF(Data!I560&lt;&gt;"",DATEDIF(Data!I560,C560,"m"),0)</f>
        <v>0</v>
      </c>
      <c r="E560" s="82">
        <f t="shared" si="19"/>
        <v>0</v>
      </c>
      <c r="I560" s="81" t="str">
        <f>CONCATENATE(Data!M560,"-",Data!L560)</f>
        <v>CD-BA</v>
      </c>
      <c r="N560" s="81">
        <f>IF(Data!P560,DATEDIF(Data!O560,Data!P560,"d"),0)</f>
        <v>0</v>
      </c>
      <c r="O560" s="81">
        <f>IF(Data!M560="CD",1,0)</f>
        <v>1</v>
      </c>
      <c r="P560" s="81">
        <f>IF(Data!M560="CD",0,1)</f>
        <v>0</v>
      </c>
      <c r="Q560" s="81">
        <f>IF(Data!Q560&gt;Data!P560,DATEDIF(Data!P560,Data!Q560,"d"),0)</f>
        <v>0</v>
      </c>
      <c r="R560" s="81">
        <f>IF(Data!R560&gt;Data!Q560,DATEDIF(Data!Q560,Data!R560,"d"),0)</f>
        <v>22</v>
      </c>
      <c r="X560"/>
      <c r="Y560"/>
      <c r="Z560"/>
    </row>
    <row r="561" spans="3:26" ht="16" x14ac:dyDescent="0.2">
      <c r="C561" s="80">
        <f t="shared" ca="1" si="18"/>
        <v>45959</v>
      </c>
      <c r="D561" s="81">
        <f>IF(Data!I561&lt;&gt;"",DATEDIF(Data!I561,C561,"m"),0)</f>
        <v>0</v>
      </c>
      <c r="E561" s="82">
        <f t="shared" si="19"/>
        <v>0</v>
      </c>
      <c r="I561" s="81" t="str">
        <f>CONCATENATE(Data!M561,"-",Data!L561)</f>
        <v>CD-BA</v>
      </c>
      <c r="N561" s="81">
        <f>IF(Data!P561,DATEDIF(Data!O561,Data!P561,"d"),0)</f>
        <v>0</v>
      </c>
      <c r="O561" s="81">
        <f>IF(Data!M561="CD",1,0)</f>
        <v>1</v>
      </c>
      <c r="P561" s="81">
        <f>IF(Data!M561="CD",0,1)</f>
        <v>0</v>
      </c>
      <c r="Q561" s="81">
        <f>IF(Data!Q561&gt;Data!P561,DATEDIF(Data!P561,Data!Q561,"d"),0)</f>
        <v>15</v>
      </c>
      <c r="R561" s="81">
        <f>IF(Data!R561&gt;Data!Q561,DATEDIF(Data!Q561,Data!R561,"d"),0)</f>
        <v>18</v>
      </c>
      <c r="X561"/>
      <c r="Y561"/>
      <c r="Z561"/>
    </row>
    <row r="562" spans="3:26" ht="16" x14ac:dyDescent="0.2">
      <c r="C562" s="80">
        <f t="shared" ca="1" si="18"/>
        <v>45959</v>
      </c>
      <c r="D562" s="81">
        <f>IF(Data!I562&lt;&gt;"",DATEDIF(Data!I562,C562,"m"),0)</f>
        <v>0</v>
      </c>
      <c r="E562" s="82">
        <f t="shared" si="19"/>
        <v>0</v>
      </c>
      <c r="I562" s="81" t="str">
        <f>CONCATENATE(Data!M562,"-",Data!L562)</f>
        <v>CD-BA</v>
      </c>
      <c r="N562" s="81">
        <f>IF(Data!P562,DATEDIF(Data!O562,Data!P562,"d"),0)</f>
        <v>0</v>
      </c>
      <c r="O562" s="81">
        <f>IF(Data!M562="CD",1,0)</f>
        <v>1</v>
      </c>
      <c r="P562" s="81">
        <f>IF(Data!M562="CD",0,1)</f>
        <v>0</v>
      </c>
      <c r="Q562" s="81">
        <f>IF(Data!Q562&gt;Data!P562,DATEDIF(Data!P562,Data!Q562,"d"),0)</f>
        <v>0</v>
      </c>
      <c r="R562" s="81">
        <f>IF(Data!R562&gt;Data!Q562,DATEDIF(Data!Q562,Data!R562,"d"),0)</f>
        <v>14</v>
      </c>
      <c r="X562"/>
      <c r="Y562"/>
      <c r="Z562"/>
    </row>
    <row r="563" spans="3:26" ht="16" x14ac:dyDescent="0.2">
      <c r="C563" s="80">
        <f t="shared" ca="1" si="18"/>
        <v>45959</v>
      </c>
      <c r="D563" s="81">
        <f>IF(Data!I563&lt;&gt;"",DATEDIF(Data!I563,C563,"m"),0)</f>
        <v>0</v>
      </c>
      <c r="E563" s="82">
        <f t="shared" si="19"/>
        <v>0</v>
      </c>
      <c r="I563" s="81" t="str">
        <f>CONCATENATE(Data!M563,"-",Data!L563)</f>
        <v>CD-BA</v>
      </c>
      <c r="N563" s="81">
        <f>IF(Data!P563,DATEDIF(Data!O563,Data!P563,"d"),0)</f>
        <v>33</v>
      </c>
      <c r="O563" s="81">
        <f>IF(Data!M563="CD",1,0)</f>
        <v>1</v>
      </c>
      <c r="P563" s="81">
        <f>IF(Data!M563="CD",0,1)</f>
        <v>0</v>
      </c>
      <c r="Q563" s="81">
        <f>IF(Data!Q563&gt;Data!P563,DATEDIF(Data!P563,Data!Q563,"d"),0)</f>
        <v>0</v>
      </c>
      <c r="R563" s="81">
        <f>IF(Data!R563&gt;Data!Q563,DATEDIF(Data!Q563,Data!R563,"d"),0)</f>
        <v>22</v>
      </c>
      <c r="X563"/>
      <c r="Y563"/>
      <c r="Z563"/>
    </row>
    <row r="564" spans="3:26" ht="16" x14ac:dyDescent="0.2">
      <c r="C564" s="80">
        <f t="shared" ca="1" si="18"/>
        <v>45959</v>
      </c>
      <c r="D564" s="81">
        <f ca="1">IF(Data!I564&lt;&gt;"",DATEDIF(Data!I564,C564,"m"),0)</f>
        <v>34</v>
      </c>
      <c r="E564" s="82">
        <f t="shared" ca="1" si="19"/>
        <v>2.8333333333333335</v>
      </c>
      <c r="I564" s="81" t="str">
        <f>CONCATENATE(Data!M564,"-",Data!L564)</f>
        <v>CI-BA</v>
      </c>
      <c r="N564" s="81">
        <f>IF(Data!P564,DATEDIF(Data!O564,Data!P564,"d"),0)</f>
        <v>1</v>
      </c>
      <c r="O564" s="81">
        <f>IF(Data!M564="CD",1,0)</f>
        <v>0</v>
      </c>
      <c r="P564" s="81">
        <f>IF(Data!M564="CD",0,1)</f>
        <v>1</v>
      </c>
      <c r="Q564" s="81">
        <f>IF(Data!Q564&gt;Data!P564,DATEDIF(Data!P564,Data!Q564,"d"),0)</f>
        <v>6</v>
      </c>
      <c r="R564" s="81">
        <f>IF(Data!R564&gt;Data!Q564,DATEDIF(Data!Q564,Data!R564,"d"),0)</f>
        <v>7</v>
      </c>
      <c r="X564"/>
      <c r="Y564"/>
      <c r="Z564"/>
    </row>
    <row r="565" spans="3:26" ht="16" x14ac:dyDescent="0.2">
      <c r="C565" s="80">
        <f t="shared" ca="1" si="18"/>
        <v>45959</v>
      </c>
      <c r="D565" s="81">
        <f>IF(Data!I565&lt;&gt;"",DATEDIF(Data!I565,C565,"m"),0)</f>
        <v>0</v>
      </c>
      <c r="E565" s="82">
        <f t="shared" si="19"/>
        <v>0</v>
      </c>
      <c r="I565" s="81" t="str">
        <f>CONCATENATE(Data!M565,"-",Data!L565)</f>
        <v>CI-BA</v>
      </c>
      <c r="N565" s="81">
        <f>IF(Data!P565,DATEDIF(Data!O565,Data!P565,"d"),0)</f>
        <v>1</v>
      </c>
      <c r="O565" s="81">
        <f>IF(Data!M565="CD",1,0)</f>
        <v>0</v>
      </c>
      <c r="P565" s="81">
        <f>IF(Data!M565="CD",0,1)</f>
        <v>1</v>
      </c>
      <c r="Q565" s="81">
        <f>IF(Data!Q565&gt;Data!P565,DATEDIF(Data!P565,Data!Q565,"d"),0)</f>
        <v>1</v>
      </c>
      <c r="R565" s="81">
        <f>IF(Data!R565&gt;Data!Q565,DATEDIF(Data!Q565,Data!R565,"d"),0)</f>
        <v>10</v>
      </c>
      <c r="X565"/>
      <c r="Y565"/>
      <c r="Z565"/>
    </row>
    <row r="566" spans="3:26" ht="16" x14ac:dyDescent="0.2">
      <c r="C566" s="80">
        <f t="shared" ca="1" si="18"/>
        <v>45959</v>
      </c>
      <c r="D566" s="81">
        <f ca="1">IF(Data!I566&lt;&gt;"",DATEDIF(Data!I566,C566,"m"),0)</f>
        <v>27</v>
      </c>
      <c r="E566" s="82">
        <f t="shared" ca="1" si="19"/>
        <v>2.25</v>
      </c>
      <c r="I566" s="81" t="str">
        <f>CONCATENATE(Data!M566,"-",Data!L566)</f>
        <v>CI-BA</v>
      </c>
      <c r="N566" s="81">
        <f>IF(Data!P566,DATEDIF(Data!O566,Data!P566,"d"),0)</f>
        <v>1</v>
      </c>
      <c r="O566" s="81">
        <f>IF(Data!M566="CD",1,0)</f>
        <v>0</v>
      </c>
      <c r="P566" s="81">
        <f>IF(Data!M566="CD",0,1)</f>
        <v>1</v>
      </c>
      <c r="Q566" s="81">
        <f>IF(Data!Q566&gt;Data!P566,DATEDIF(Data!P566,Data!Q566,"d"),0)</f>
        <v>1</v>
      </c>
      <c r="R566" s="81">
        <f>IF(Data!R566&gt;Data!Q566,DATEDIF(Data!Q566,Data!R566,"d"),0)</f>
        <v>12</v>
      </c>
      <c r="X566"/>
      <c r="Y566"/>
      <c r="Z566"/>
    </row>
    <row r="567" spans="3:26" ht="16" x14ac:dyDescent="0.2">
      <c r="C567" s="80">
        <f t="shared" ca="1" si="18"/>
        <v>45959</v>
      </c>
      <c r="D567" s="81">
        <f>IF(Data!I567&lt;&gt;"",DATEDIF(Data!I567,C567,"m"),0)</f>
        <v>0</v>
      </c>
      <c r="E567" s="82">
        <f t="shared" si="19"/>
        <v>0</v>
      </c>
      <c r="I567" s="81" t="str">
        <f>CONCATENATE(Data!M567,"-",Data!L567)</f>
        <v>CD-VA</v>
      </c>
      <c r="N567" s="81">
        <f>IF(Data!P567,DATEDIF(Data!O567,Data!P567,"d"),0)</f>
        <v>1</v>
      </c>
      <c r="O567" s="81">
        <f>IF(Data!M567="CD",1,0)</f>
        <v>1</v>
      </c>
      <c r="P567" s="81">
        <f>IF(Data!M567="CD",0,1)</f>
        <v>0</v>
      </c>
      <c r="Q567" s="81">
        <f>IF(Data!Q567&gt;Data!P567,DATEDIF(Data!P567,Data!Q567,"d"),0)</f>
        <v>1</v>
      </c>
      <c r="R567" s="81">
        <f>IF(Data!R567&gt;Data!Q567,DATEDIF(Data!Q567,Data!R567,"d"),0)</f>
        <v>15</v>
      </c>
      <c r="X567"/>
      <c r="Y567"/>
      <c r="Z567"/>
    </row>
    <row r="568" spans="3:26" ht="16" x14ac:dyDescent="0.2">
      <c r="C568" s="80">
        <f t="shared" ca="1" si="18"/>
        <v>45959</v>
      </c>
      <c r="D568" s="81">
        <f ca="1">IF(Data!I568&lt;&gt;"",DATEDIF(Data!I568,C568,"m"),0)</f>
        <v>84</v>
      </c>
      <c r="E568" s="82">
        <f t="shared" ca="1" si="19"/>
        <v>7</v>
      </c>
      <c r="I568" s="81" t="str">
        <f>CONCATENATE(Data!M568,"-",Data!L568)</f>
        <v>CD-GE</v>
      </c>
      <c r="N568" s="81">
        <f>IF(Data!P568,DATEDIF(Data!O568,Data!P568,"d"),0)</f>
        <v>15</v>
      </c>
      <c r="O568" s="81">
        <f>IF(Data!M568="CD",1,0)</f>
        <v>1</v>
      </c>
      <c r="P568" s="81">
        <f>IF(Data!M568="CD",0,1)</f>
        <v>0</v>
      </c>
      <c r="Q568" s="81">
        <f>IF(Data!Q568&gt;Data!P568,DATEDIF(Data!P568,Data!Q568,"d"),0)</f>
        <v>3</v>
      </c>
      <c r="R568" s="81">
        <f>IF(Data!R568&gt;Data!Q568,DATEDIF(Data!Q568,Data!R568,"d"),0)</f>
        <v>0</v>
      </c>
      <c r="X568"/>
      <c r="Y568"/>
      <c r="Z568"/>
    </row>
    <row r="569" spans="3:26" ht="16" x14ac:dyDescent="0.2">
      <c r="C569" s="80">
        <f t="shared" ca="1" si="18"/>
        <v>45959</v>
      </c>
      <c r="D569" s="81">
        <f ca="1">IF(Data!I569&lt;&gt;"",DATEDIF(Data!I569,C569,"m"),0)</f>
        <v>48</v>
      </c>
      <c r="E569" s="82">
        <f t="shared" ca="1" si="19"/>
        <v>4</v>
      </c>
      <c r="I569" s="81" t="str">
        <f>CONCATENATE(Data!M569,"-",Data!L569)</f>
        <v>CD-CH</v>
      </c>
      <c r="N569" s="81">
        <f>IF(Data!P569,DATEDIF(Data!O569,Data!P569,"d"),0)</f>
        <v>87</v>
      </c>
      <c r="O569" s="81">
        <f>IF(Data!M569="CD",1,0)</f>
        <v>1</v>
      </c>
      <c r="P569" s="81">
        <f>IF(Data!M569="CD",0,1)</f>
        <v>0</v>
      </c>
      <c r="Q569" s="81">
        <f>IF(Data!Q569&gt;Data!P569,DATEDIF(Data!P569,Data!Q569,"d"),0)</f>
        <v>0</v>
      </c>
      <c r="R569" s="81">
        <f>IF(Data!R569&gt;Data!Q569,DATEDIF(Data!Q569,Data!R569,"d"),0)</f>
        <v>15</v>
      </c>
      <c r="X569"/>
      <c r="Y569"/>
      <c r="Z569"/>
    </row>
    <row r="570" spans="3:26" ht="16" x14ac:dyDescent="0.2">
      <c r="C570" s="80">
        <f t="shared" ca="1" si="18"/>
        <v>45959</v>
      </c>
      <c r="D570" s="81">
        <f>IF(Data!I570&lt;&gt;"",DATEDIF(Data!I570,C570,"m"),0)</f>
        <v>0</v>
      </c>
      <c r="E570" s="82">
        <f t="shared" si="19"/>
        <v>0</v>
      </c>
      <c r="I570" s="81" t="str">
        <f>CONCATENATE(Data!M570,"-",Data!L570)</f>
        <v>ML-GE</v>
      </c>
      <c r="N570" s="81">
        <f>IF(Data!P570,DATEDIF(Data!O570,Data!P570,"d"),0)</f>
        <v>0</v>
      </c>
      <c r="O570" s="81">
        <f>IF(Data!M570="CD",1,0)</f>
        <v>0</v>
      </c>
      <c r="P570" s="81">
        <f>IF(Data!M570="CD",0,1)</f>
        <v>1</v>
      </c>
      <c r="Q570" s="81">
        <f>IF(Data!Q570&gt;Data!P570,DATEDIF(Data!P570,Data!Q570,"d"),0)</f>
        <v>34</v>
      </c>
      <c r="R570" s="81">
        <f>IF(Data!R570&gt;Data!Q570,DATEDIF(Data!Q570,Data!R570,"d"),0)</f>
        <v>13</v>
      </c>
      <c r="X570"/>
      <c r="Y570"/>
      <c r="Z570"/>
    </row>
    <row r="571" spans="3:26" ht="16" x14ac:dyDescent="0.2">
      <c r="C571" s="80">
        <f t="shared" ca="1" si="18"/>
        <v>45959</v>
      </c>
      <c r="D571" s="81">
        <f>IF(Data!I571&lt;&gt;"",DATEDIF(Data!I571,C571,"m"),0)</f>
        <v>0</v>
      </c>
      <c r="E571" s="82">
        <f t="shared" si="19"/>
        <v>0</v>
      </c>
      <c r="I571" s="81" t="str">
        <f>CONCATENATE(Data!M571,"-",Data!L571)</f>
        <v>CD-GE</v>
      </c>
      <c r="N571" s="81">
        <f>IF(Data!P571,DATEDIF(Data!O571,Data!P571,"d"),0)</f>
        <v>16</v>
      </c>
      <c r="O571" s="81">
        <f>IF(Data!M571="CD",1,0)</f>
        <v>1</v>
      </c>
      <c r="P571" s="81">
        <f>IF(Data!M571="CD",0,1)</f>
        <v>0</v>
      </c>
      <c r="Q571" s="81">
        <f>IF(Data!Q571&gt;Data!P571,DATEDIF(Data!P571,Data!Q571,"d"),0)</f>
        <v>12</v>
      </c>
      <c r="R571" s="81">
        <f>IF(Data!R571&gt;Data!Q571,DATEDIF(Data!Q571,Data!R571,"d"),0)</f>
        <v>0</v>
      </c>
      <c r="X571"/>
      <c r="Y571"/>
      <c r="Z571"/>
    </row>
    <row r="572" spans="3:26" ht="16" x14ac:dyDescent="0.2">
      <c r="C572" s="80">
        <f t="shared" ca="1" si="18"/>
        <v>45959</v>
      </c>
      <c r="D572" s="81">
        <f ca="1">IF(Data!I572&lt;&gt;"",DATEDIF(Data!I572,C572,"m"),0)</f>
        <v>22</v>
      </c>
      <c r="E572" s="82">
        <f t="shared" ca="1" si="19"/>
        <v>1.8333333333333333</v>
      </c>
      <c r="I572" s="81" t="str">
        <f>CONCATENATE(Data!M572,"-",Data!L572)</f>
        <v>CD-GE</v>
      </c>
      <c r="N572" s="81">
        <f>IF(Data!P572,DATEDIF(Data!O572,Data!P572,"d"),0)</f>
        <v>174</v>
      </c>
      <c r="O572" s="81">
        <f>IF(Data!M572="CD",1,0)</f>
        <v>1</v>
      </c>
      <c r="P572" s="81">
        <f>IF(Data!M572="CD",0,1)</f>
        <v>0</v>
      </c>
      <c r="Q572" s="81">
        <f>IF(Data!Q572&gt;Data!P572,DATEDIF(Data!P572,Data!Q572,"d"),0)</f>
        <v>0</v>
      </c>
      <c r="R572" s="81">
        <f>IF(Data!R572&gt;Data!Q572,DATEDIF(Data!Q572,Data!R572,"d"),0)</f>
        <v>5</v>
      </c>
      <c r="X572"/>
      <c r="Y572"/>
      <c r="Z572"/>
    </row>
    <row r="573" spans="3:26" ht="16" x14ac:dyDescent="0.2">
      <c r="C573" s="80">
        <f t="shared" ca="1" si="18"/>
        <v>45959</v>
      </c>
      <c r="D573" s="81">
        <f ca="1">IF(Data!I573&lt;&gt;"",DATEDIF(Data!I573,C573,"m"),0)</f>
        <v>20</v>
      </c>
      <c r="E573" s="82">
        <f t="shared" ca="1" si="19"/>
        <v>1.6666666666666667</v>
      </c>
      <c r="I573" s="81" t="str">
        <f>CONCATENATE(Data!M573,"-",Data!L573)</f>
        <v>CD-CH</v>
      </c>
      <c r="N573" s="81">
        <f>IF(Data!P573,DATEDIF(Data!O573,Data!P573,"d"),0)</f>
        <v>7</v>
      </c>
      <c r="O573" s="81">
        <f>IF(Data!M573="CD",1,0)</f>
        <v>1</v>
      </c>
      <c r="P573" s="81">
        <f>IF(Data!M573="CD",0,1)</f>
        <v>0</v>
      </c>
      <c r="Q573" s="81">
        <f>IF(Data!Q573&gt;Data!P573,DATEDIF(Data!P573,Data!Q573,"d"),0)</f>
        <v>0</v>
      </c>
      <c r="R573" s="81">
        <f>IF(Data!R573&gt;Data!Q573,DATEDIF(Data!Q573,Data!R573,"d"),0)</f>
        <v>3</v>
      </c>
      <c r="X573"/>
      <c r="Y573"/>
      <c r="Z573"/>
    </row>
    <row r="574" spans="3:26" ht="16" x14ac:dyDescent="0.2">
      <c r="C574" s="80">
        <f t="shared" ca="1" si="18"/>
        <v>45959</v>
      </c>
      <c r="D574" s="81">
        <f>IF(Data!I574&lt;&gt;"",DATEDIF(Data!I574,C574,"m"),0)</f>
        <v>0</v>
      </c>
      <c r="E574" s="82">
        <f t="shared" si="19"/>
        <v>0</v>
      </c>
      <c r="I574" s="81" t="str">
        <f>CONCATENATE(Data!M574,"-",Data!L574)</f>
        <v>CD-GE</v>
      </c>
      <c r="N574" s="81">
        <f>IF(Data!P574,DATEDIF(Data!O574,Data!P574,"d"),0)</f>
        <v>17</v>
      </c>
      <c r="O574" s="81">
        <f>IF(Data!M574="CD",1,0)</f>
        <v>1</v>
      </c>
      <c r="P574" s="81">
        <f>IF(Data!M574="CD",0,1)</f>
        <v>0</v>
      </c>
      <c r="Q574" s="81">
        <f>IF(Data!Q574&gt;Data!P574,DATEDIF(Data!P574,Data!Q574,"d"),0)</f>
        <v>0</v>
      </c>
      <c r="R574" s="81">
        <f>IF(Data!R574&gt;Data!Q574,DATEDIF(Data!Q574,Data!R574,"d"),0)</f>
        <v>6</v>
      </c>
      <c r="X574"/>
      <c r="Y574"/>
      <c r="Z574"/>
    </row>
    <row r="575" spans="3:26" ht="16" x14ac:dyDescent="0.2">
      <c r="C575" s="80">
        <f t="shared" ca="1" si="18"/>
        <v>45959</v>
      </c>
      <c r="D575" s="81">
        <f>IF(Data!I575&lt;&gt;"",DATEDIF(Data!I575,C575,"m"),0)</f>
        <v>0</v>
      </c>
      <c r="E575" s="82">
        <f t="shared" si="19"/>
        <v>0</v>
      </c>
      <c r="I575" s="81" t="str">
        <f>CONCATENATE(Data!M575,"-",Data!L575)</f>
        <v>CD-CH</v>
      </c>
      <c r="N575" s="81">
        <f>IF(Data!P575,DATEDIF(Data!O575,Data!P575,"d"),0)</f>
        <v>279</v>
      </c>
      <c r="O575" s="81">
        <f>IF(Data!M575="CD",1,0)</f>
        <v>1</v>
      </c>
      <c r="P575" s="81">
        <f>IF(Data!M575="CD",0,1)</f>
        <v>0</v>
      </c>
      <c r="Q575" s="81">
        <f>IF(Data!Q575&gt;Data!P575,DATEDIF(Data!P575,Data!Q575,"d"),0)</f>
        <v>0</v>
      </c>
      <c r="R575" s="81">
        <f>IF(Data!R575&gt;Data!Q575,DATEDIF(Data!Q575,Data!R575,"d"),0)</f>
        <v>3</v>
      </c>
      <c r="X575"/>
      <c r="Y575"/>
      <c r="Z575"/>
    </row>
    <row r="576" spans="3:26" ht="16" x14ac:dyDescent="0.2">
      <c r="C576" s="80">
        <f t="shared" ca="1" si="18"/>
        <v>45959</v>
      </c>
      <c r="D576" s="81">
        <f ca="1">IF(Data!I576&lt;&gt;"",DATEDIF(Data!I576,C576,"m"),0)</f>
        <v>79</v>
      </c>
      <c r="E576" s="82">
        <f t="shared" ca="1" si="19"/>
        <v>6.583333333333333</v>
      </c>
      <c r="I576" s="81" t="str">
        <f>CONCATENATE(Data!M576,"-",Data!L576)</f>
        <v>CD-GE</v>
      </c>
      <c r="N576" s="81">
        <f>IF(Data!P576,DATEDIF(Data!O576,Data!P576,"d"),0)</f>
        <v>19</v>
      </c>
      <c r="O576" s="81">
        <f>IF(Data!M576="CD",1,0)</f>
        <v>1</v>
      </c>
      <c r="P576" s="81">
        <f>IF(Data!M576="CD",0,1)</f>
        <v>0</v>
      </c>
      <c r="Q576" s="81">
        <f>IF(Data!Q576&gt;Data!P576,DATEDIF(Data!P576,Data!Q576,"d"),0)</f>
        <v>1</v>
      </c>
      <c r="R576" s="81">
        <f>IF(Data!R576&gt;Data!Q576,DATEDIF(Data!Q576,Data!R576,"d"),0)</f>
        <v>6</v>
      </c>
      <c r="X576"/>
      <c r="Y576"/>
      <c r="Z576"/>
    </row>
    <row r="577" spans="3:26" ht="16" x14ac:dyDescent="0.2">
      <c r="C577" s="80">
        <f t="shared" ca="1" si="18"/>
        <v>45959</v>
      </c>
      <c r="D577" s="81">
        <f ca="1">IF(Data!I577&lt;&gt;"",DATEDIF(Data!I577,C577,"m"),0)</f>
        <v>108</v>
      </c>
      <c r="E577" s="82">
        <f t="shared" ca="1" si="19"/>
        <v>9</v>
      </c>
      <c r="I577" s="81" t="str">
        <f>CONCATENATE(Data!M577,"-",Data!L577)</f>
        <v>CD-VA</v>
      </c>
      <c r="N577" s="81">
        <f>IF(Data!P577,DATEDIF(Data!O577,Data!P577,"d"),0)</f>
        <v>12</v>
      </c>
      <c r="O577" s="81">
        <f>IF(Data!M577="CD",1,0)</f>
        <v>1</v>
      </c>
      <c r="P577" s="81">
        <f>IF(Data!M577="CD",0,1)</f>
        <v>0</v>
      </c>
      <c r="Q577" s="81">
        <f>IF(Data!Q577&gt;Data!P577,DATEDIF(Data!P577,Data!Q577,"d"),0)</f>
        <v>1</v>
      </c>
      <c r="R577" s="81">
        <f>IF(Data!R577&gt;Data!Q577,DATEDIF(Data!Q577,Data!R577,"d"),0)</f>
        <v>12</v>
      </c>
      <c r="X577"/>
      <c r="Y577"/>
      <c r="Z577"/>
    </row>
    <row r="578" spans="3:26" ht="16" x14ac:dyDescent="0.2">
      <c r="C578" s="80">
        <f t="shared" ref="C578:C641" ca="1" si="20">TODAY()</f>
        <v>45959</v>
      </c>
      <c r="D578" s="81">
        <f ca="1">IF(Data!I578&lt;&gt;"",DATEDIF(Data!I578,C578,"m"),0)</f>
        <v>18</v>
      </c>
      <c r="E578" s="82">
        <f t="shared" ca="1" si="19"/>
        <v>1.5</v>
      </c>
      <c r="I578" s="81" t="str">
        <f>CONCATENATE(Data!M578,"-",Data!L578)</f>
        <v>CD-VA</v>
      </c>
      <c r="N578" s="81">
        <f>IF(Data!P578,DATEDIF(Data!O578,Data!P578,"d"),0)</f>
        <v>1</v>
      </c>
      <c r="O578" s="81">
        <f>IF(Data!M578="CD",1,0)</f>
        <v>1</v>
      </c>
      <c r="P578" s="81">
        <f>IF(Data!M578="CD",0,1)</f>
        <v>0</v>
      </c>
      <c r="Q578" s="81">
        <f>IF(Data!Q578&gt;Data!P578,DATEDIF(Data!P578,Data!Q578,"d"),0)</f>
        <v>4</v>
      </c>
      <c r="R578" s="81">
        <f>IF(Data!R578&gt;Data!Q578,DATEDIF(Data!Q578,Data!R578,"d"),0)</f>
        <v>6</v>
      </c>
      <c r="X578"/>
      <c r="Y578"/>
      <c r="Z578"/>
    </row>
    <row r="579" spans="3:26" ht="16" x14ac:dyDescent="0.2">
      <c r="C579" s="80">
        <f t="shared" ca="1" si="20"/>
        <v>45959</v>
      </c>
      <c r="D579" s="81">
        <f ca="1">IF(Data!I579&lt;&gt;"",DATEDIF(Data!I579,C579,"m"),0)</f>
        <v>68</v>
      </c>
      <c r="E579" s="82">
        <f t="shared" ref="E579:E642" ca="1" si="21">D579/12</f>
        <v>5.666666666666667</v>
      </c>
      <c r="I579" s="81" t="str">
        <f>CONCATENATE(Data!M579,"-",Data!L579)</f>
        <v>CD-VA</v>
      </c>
      <c r="N579" s="81">
        <f>IF(Data!P579,DATEDIF(Data!O579,Data!P579,"d"),0)</f>
        <v>12</v>
      </c>
      <c r="O579" s="81">
        <f>IF(Data!M579="CD",1,0)</f>
        <v>1</v>
      </c>
      <c r="P579" s="81">
        <f>IF(Data!M579="CD",0,1)</f>
        <v>0</v>
      </c>
      <c r="Q579" s="81">
        <f>IF(Data!Q579&gt;Data!P579,DATEDIF(Data!P579,Data!Q579,"d"),0)</f>
        <v>13</v>
      </c>
      <c r="R579" s="81">
        <f>IF(Data!R579&gt;Data!Q579,DATEDIF(Data!Q579,Data!R579,"d"),0)</f>
        <v>0</v>
      </c>
      <c r="X579"/>
      <c r="Y579"/>
      <c r="Z579"/>
    </row>
    <row r="580" spans="3:26" ht="16" x14ac:dyDescent="0.2">
      <c r="C580" s="80">
        <f t="shared" ca="1" si="20"/>
        <v>45959</v>
      </c>
      <c r="D580" s="81">
        <f ca="1">IF(Data!I580&lt;&gt;"",DATEDIF(Data!I580,C580,"m"),0)</f>
        <v>64</v>
      </c>
      <c r="E580" s="82">
        <f t="shared" ca="1" si="21"/>
        <v>5.333333333333333</v>
      </c>
      <c r="I580" s="81" t="str">
        <f>CONCATENATE(Data!M580,"-",Data!L580)</f>
        <v>CD-VA</v>
      </c>
      <c r="N580" s="81">
        <f>IF(Data!P580,DATEDIF(Data!O580,Data!P580,"d"),0)</f>
        <v>14</v>
      </c>
      <c r="O580" s="81">
        <f>IF(Data!M580="CD",1,0)</f>
        <v>1</v>
      </c>
      <c r="P580" s="81">
        <f>IF(Data!M580="CD",0,1)</f>
        <v>0</v>
      </c>
      <c r="Q580" s="81">
        <f>IF(Data!Q580&gt;Data!P580,DATEDIF(Data!P580,Data!Q580,"d"),0)</f>
        <v>1</v>
      </c>
      <c r="R580" s="81">
        <f>IF(Data!R580&gt;Data!Q580,DATEDIF(Data!Q580,Data!R580,"d"),0)</f>
        <v>12</v>
      </c>
      <c r="X580"/>
      <c r="Y580"/>
      <c r="Z580"/>
    </row>
    <row r="581" spans="3:26" ht="16" x14ac:dyDescent="0.2">
      <c r="C581" s="80">
        <f t="shared" ca="1" si="20"/>
        <v>45959</v>
      </c>
      <c r="D581" s="81">
        <f ca="1">IF(Data!I581&lt;&gt;"",DATEDIF(Data!I581,C581,"m"),0)</f>
        <v>14</v>
      </c>
      <c r="E581" s="82">
        <f t="shared" ca="1" si="21"/>
        <v>1.1666666666666667</v>
      </c>
      <c r="I581" s="81" t="str">
        <f>CONCATENATE(Data!M581,"-",Data!L581)</f>
        <v>CD-GE</v>
      </c>
      <c r="N581" s="81">
        <f>IF(Data!P581,DATEDIF(Data!O581,Data!P581,"d"),0)</f>
        <v>21</v>
      </c>
      <c r="O581" s="81">
        <f>IF(Data!M581="CD",1,0)</f>
        <v>1</v>
      </c>
      <c r="P581" s="81">
        <f>IF(Data!M581="CD",0,1)</f>
        <v>0</v>
      </c>
      <c r="Q581" s="81">
        <f>IF(Data!Q581&gt;Data!P581,DATEDIF(Data!P581,Data!Q581,"d"),0)</f>
        <v>7</v>
      </c>
      <c r="R581" s="81">
        <f>IF(Data!R581&gt;Data!Q581,DATEDIF(Data!Q581,Data!R581,"d"),0)</f>
        <v>0</v>
      </c>
      <c r="X581"/>
      <c r="Y581"/>
      <c r="Z581"/>
    </row>
    <row r="582" spans="3:26" ht="16" x14ac:dyDescent="0.2">
      <c r="C582" s="80">
        <f t="shared" ca="1" si="20"/>
        <v>45959</v>
      </c>
      <c r="D582" s="81">
        <f>IF(Data!I582&lt;&gt;"",DATEDIF(Data!I582,C582,"m"),0)</f>
        <v>0</v>
      </c>
      <c r="E582" s="82">
        <f t="shared" si="21"/>
        <v>0</v>
      </c>
      <c r="I582" s="81" t="str">
        <f>CONCATENATE(Data!M582,"-",Data!L582)</f>
        <v>CD-GE</v>
      </c>
      <c r="N582" s="81">
        <f>IF(Data!P582,DATEDIF(Data!O582,Data!P582,"d"),0)</f>
        <v>307</v>
      </c>
      <c r="O582" s="81">
        <f>IF(Data!M582="CD",1,0)</f>
        <v>1</v>
      </c>
      <c r="P582" s="81">
        <f>IF(Data!M582="CD",0,1)</f>
        <v>0</v>
      </c>
      <c r="Q582" s="81">
        <f>IF(Data!Q582&gt;Data!P582,DATEDIF(Data!P582,Data!Q582,"d"),0)</f>
        <v>0</v>
      </c>
      <c r="R582" s="81">
        <f>IF(Data!R582&gt;Data!Q582,DATEDIF(Data!Q582,Data!R582,"d"),0)</f>
        <v>7</v>
      </c>
      <c r="X582"/>
      <c r="Y582"/>
      <c r="Z582"/>
    </row>
    <row r="583" spans="3:26" ht="16" x14ac:dyDescent="0.2">
      <c r="C583" s="80">
        <f t="shared" ca="1" si="20"/>
        <v>45959</v>
      </c>
      <c r="D583" s="81">
        <f ca="1">IF(Data!I583&lt;&gt;"",DATEDIF(Data!I583,C583,"m"),0)</f>
        <v>36</v>
      </c>
      <c r="E583" s="82">
        <f t="shared" ca="1" si="21"/>
        <v>3</v>
      </c>
      <c r="I583" s="81" t="str">
        <f>CONCATENATE(Data!M583,"-",Data!L583)</f>
        <v>CD-VA</v>
      </c>
      <c r="N583" s="81">
        <f>IF(Data!P583,DATEDIF(Data!O583,Data!P583,"d"),0)</f>
        <v>15</v>
      </c>
      <c r="O583" s="81">
        <f>IF(Data!M583="CD",1,0)</f>
        <v>1</v>
      </c>
      <c r="P583" s="81">
        <f>IF(Data!M583="CD",0,1)</f>
        <v>0</v>
      </c>
      <c r="Q583" s="81">
        <f>IF(Data!Q583&gt;Data!P583,DATEDIF(Data!P583,Data!Q583,"d"),0)</f>
        <v>13</v>
      </c>
      <c r="R583" s="81">
        <f>IF(Data!R583&gt;Data!Q583,DATEDIF(Data!Q583,Data!R583,"d"),0)</f>
        <v>0</v>
      </c>
      <c r="X583"/>
      <c r="Y583"/>
      <c r="Z583"/>
    </row>
    <row r="584" spans="3:26" ht="16" x14ac:dyDescent="0.2">
      <c r="C584" s="80">
        <f t="shared" ca="1" si="20"/>
        <v>45959</v>
      </c>
      <c r="D584" s="81">
        <f>IF(Data!I584&lt;&gt;"",DATEDIF(Data!I584,C584,"m"),0)</f>
        <v>0</v>
      </c>
      <c r="E584" s="82">
        <f t="shared" si="21"/>
        <v>0</v>
      </c>
      <c r="I584" s="81" t="str">
        <f>CONCATENATE(Data!M584,"-",Data!L584)</f>
        <v>CI-GE</v>
      </c>
      <c r="N584" s="81">
        <f>IF(Data!P584,DATEDIF(Data!O584,Data!P584,"d"),0)</f>
        <v>25</v>
      </c>
      <c r="O584" s="81">
        <f>IF(Data!M584="CD",1,0)</f>
        <v>0</v>
      </c>
      <c r="P584" s="81">
        <f>IF(Data!M584="CD",0,1)</f>
        <v>1</v>
      </c>
      <c r="Q584" s="81">
        <f>IF(Data!Q584&gt;Data!P584,DATEDIF(Data!P584,Data!Q584,"d"),0)</f>
        <v>14</v>
      </c>
      <c r="R584" s="81">
        <f>IF(Data!R584&gt;Data!Q584,DATEDIF(Data!Q584,Data!R584,"d"),0)</f>
        <v>0</v>
      </c>
      <c r="X584"/>
      <c r="Y584"/>
      <c r="Z584"/>
    </row>
    <row r="585" spans="3:26" ht="16" x14ac:dyDescent="0.2">
      <c r="C585" s="80">
        <f t="shared" ca="1" si="20"/>
        <v>45959</v>
      </c>
      <c r="D585" s="81">
        <f ca="1">IF(Data!I585&lt;&gt;"",DATEDIF(Data!I585,C585,"m"),0)</f>
        <v>15</v>
      </c>
      <c r="E585" s="82">
        <f t="shared" ca="1" si="21"/>
        <v>1.25</v>
      </c>
      <c r="I585" s="81" t="str">
        <f>CONCATENATE(Data!M585,"-",Data!L585)</f>
        <v>CD-GE</v>
      </c>
      <c r="N585" s="81">
        <f>IF(Data!P585,DATEDIF(Data!O585,Data!P585,"d"),0)</f>
        <v>35</v>
      </c>
      <c r="O585" s="81">
        <f>IF(Data!M585="CD",1,0)</f>
        <v>1</v>
      </c>
      <c r="P585" s="81">
        <f>IF(Data!M585="CD",0,1)</f>
        <v>0</v>
      </c>
      <c r="Q585" s="81">
        <f>IF(Data!Q585&gt;Data!P585,DATEDIF(Data!P585,Data!Q585,"d"),0)</f>
        <v>2</v>
      </c>
      <c r="R585" s="81">
        <f>IF(Data!R585&gt;Data!Q585,DATEDIF(Data!Q585,Data!R585,"d"),0)</f>
        <v>40</v>
      </c>
      <c r="X585"/>
      <c r="Y585"/>
      <c r="Z585"/>
    </row>
    <row r="586" spans="3:26" ht="16" x14ac:dyDescent="0.2">
      <c r="C586" s="80">
        <f t="shared" ca="1" si="20"/>
        <v>45959</v>
      </c>
      <c r="D586" s="81">
        <f ca="1">IF(Data!I586&lt;&gt;"",DATEDIF(Data!I586,C586,"m"),0)</f>
        <v>16</v>
      </c>
      <c r="E586" s="82">
        <f t="shared" ca="1" si="21"/>
        <v>1.3333333333333333</v>
      </c>
      <c r="I586" s="81" t="str">
        <f>CONCATENATE(Data!M586,"-",Data!L586)</f>
        <v>CD-GE</v>
      </c>
      <c r="N586" s="81">
        <f>IF(Data!P586,DATEDIF(Data!O586,Data!P586,"d"),0)</f>
        <v>10</v>
      </c>
      <c r="O586" s="81">
        <f>IF(Data!M586="CD",1,0)</f>
        <v>1</v>
      </c>
      <c r="P586" s="81">
        <f>IF(Data!M586="CD",0,1)</f>
        <v>0</v>
      </c>
      <c r="Q586" s="81">
        <f>IF(Data!Q586&gt;Data!P586,DATEDIF(Data!P586,Data!Q586,"d"),0)</f>
        <v>0</v>
      </c>
      <c r="R586" s="81">
        <f>IF(Data!R586&gt;Data!Q586,DATEDIF(Data!Q586,Data!R586,"d"),0)</f>
        <v>0</v>
      </c>
      <c r="X586"/>
      <c r="Y586"/>
      <c r="Z586"/>
    </row>
    <row r="587" spans="3:26" ht="16" x14ac:dyDescent="0.2">
      <c r="C587" s="80">
        <f t="shared" ca="1" si="20"/>
        <v>45959</v>
      </c>
      <c r="D587" s="81">
        <f>IF(Data!I587&lt;&gt;"",DATEDIF(Data!I587,C587,"m"),0)</f>
        <v>0</v>
      </c>
      <c r="E587" s="82">
        <f t="shared" si="21"/>
        <v>0</v>
      </c>
      <c r="I587" s="81" t="str">
        <f>CONCATENATE(Data!M587,"-",Data!L587)</f>
        <v>CD-GE</v>
      </c>
      <c r="N587" s="81">
        <f>IF(Data!P587,DATEDIF(Data!O587,Data!P587,"d"),0)</f>
        <v>0</v>
      </c>
      <c r="O587" s="81">
        <f>IF(Data!M587="CD",1,0)</f>
        <v>1</v>
      </c>
      <c r="P587" s="81">
        <f>IF(Data!M587="CD",0,1)</f>
        <v>0</v>
      </c>
      <c r="Q587" s="81">
        <f>IF(Data!Q587&gt;Data!P587,DATEDIF(Data!P587,Data!Q587,"d"),0)</f>
        <v>0</v>
      </c>
      <c r="R587" s="81">
        <f>IF(Data!R587&gt;Data!Q587,DATEDIF(Data!Q587,Data!R587,"d"),0)</f>
        <v>1</v>
      </c>
      <c r="X587"/>
      <c r="Y587"/>
      <c r="Z587"/>
    </row>
    <row r="588" spans="3:26" ht="16" x14ac:dyDescent="0.2">
      <c r="C588" s="80">
        <f t="shared" ca="1" si="20"/>
        <v>45959</v>
      </c>
      <c r="D588" s="81">
        <f>IF(Data!I588&lt;&gt;"",DATEDIF(Data!I588,C588,"m"),0)</f>
        <v>0</v>
      </c>
      <c r="E588" s="82">
        <f t="shared" si="21"/>
        <v>0</v>
      </c>
      <c r="I588" s="81" t="str">
        <f>CONCATENATE(Data!M588,"-",Data!L588)</f>
        <v>-</v>
      </c>
      <c r="N588" s="81">
        <f>IF(Data!P588,DATEDIF(Data!O588,Data!P588,"d"),0)</f>
        <v>0</v>
      </c>
      <c r="O588" s="81">
        <f>IF(Data!M588="CD",1,0)</f>
        <v>0</v>
      </c>
      <c r="P588" s="81">
        <f>IF(Data!M588="CD",0,1)</f>
        <v>1</v>
      </c>
      <c r="Q588" s="81">
        <f>IF(Data!Q588&gt;Data!P588,DATEDIF(Data!P588,Data!Q588,"d"),0)</f>
        <v>0</v>
      </c>
      <c r="R588" s="81">
        <f>IF(Data!R588&gt;Data!Q588,DATEDIF(Data!Q588,Data!R588,"d"),0)</f>
        <v>0</v>
      </c>
      <c r="X588"/>
      <c r="Y588"/>
      <c r="Z588"/>
    </row>
    <row r="589" spans="3:26" ht="16" x14ac:dyDescent="0.2">
      <c r="C589" s="80">
        <f t="shared" ca="1" si="20"/>
        <v>45959</v>
      </c>
      <c r="D589" s="81">
        <f>IF(Data!I589&lt;&gt;"",DATEDIF(Data!I589,C589,"m"),0)</f>
        <v>0</v>
      </c>
      <c r="E589" s="82">
        <f t="shared" si="21"/>
        <v>0</v>
      </c>
      <c r="I589" s="81" t="str">
        <f>CONCATENATE(Data!M589,"-",Data!L589)</f>
        <v>-</v>
      </c>
      <c r="N589" s="81">
        <f>IF(Data!P589,DATEDIF(Data!O589,Data!P589,"d"),0)</f>
        <v>0</v>
      </c>
      <c r="O589" s="81">
        <f>IF(Data!M589="CD",1,0)</f>
        <v>0</v>
      </c>
      <c r="P589" s="81">
        <f>IF(Data!M589="CD",0,1)</f>
        <v>1</v>
      </c>
      <c r="Q589" s="81">
        <f>IF(Data!Q589&gt;Data!P589,DATEDIF(Data!P589,Data!Q589,"d"),0)</f>
        <v>0</v>
      </c>
      <c r="R589" s="81">
        <f>IF(Data!R589&gt;Data!Q589,DATEDIF(Data!Q589,Data!R589,"d"),0)</f>
        <v>0</v>
      </c>
      <c r="X589"/>
      <c r="Y589"/>
      <c r="Z589"/>
    </row>
    <row r="590" spans="3:26" ht="16" x14ac:dyDescent="0.2">
      <c r="C590" s="80">
        <f t="shared" ca="1" si="20"/>
        <v>45959</v>
      </c>
      <c r="D590" s="81">
        <f>IF(Data!I590&lt;&gt;"",DATEDIF(Data!I590,C590,"m"),0)</f>
        <v>0</v>
      </c>
      <c r="E590" s="82">
        <f t="shared" si="21"/>
        <v>0</v>
      </c>
      <c r="I590" s="81" t="str">
        <f>CONCATENATE(Data!M590,"-",Data!L590)</f>
        <v>-</v>
      </c>
      <c r="N590" s="81">
        <f>IF(Data!P590,DATEDIF(Data!O590,Data!P590,"d"),0)</f>
        <v>0</v>
      </c>
      <c r="O590" s="81">
        <f>IF(Data!M590="CD",1,0)</f>
        <v>0</v>
      </c>
      <c r="P590" s="81">
        <f>IF(Data!M590="CD",0,1)</f>
        <v>1</v>
      </c>
      <c r="Q590" s="81">
        <f>IF(Data!Q590&gt;Data!P590,DATEDIF(Data!P590,Data!Q590,"d"),0)</f>
        <v>0</v>
      </c>
      <c r="R590" s="81">
        <f>IF(Data!R590&gt;Data!Q590,DATEDIF(Data!Q590,Data!R590,"d"),0)</f>
        <v>0</v>
      </c>
      <c r="X590"/>
      <c r="Y590"/>
      <c r="Z590"/>
    </row>
    <row r="591" spans="3:26" ht="16" x14ac:dyDescent="0.2">
      <c r="C591" s="80">
        <f t="shared" ca="1" si="20"/>
        <v>45959</v>
      </c>
      <c r="D591" s="81">
        <f>IF(Data!I591&lt;&gt;"",DATEDIF(Data!I591,C591,"m"),0)</f>
        <v>0</v>
      </c>
      <c r="E591" s="82">
        <f t="shared" si="21"/>
        <v>0</v>
      </c>
      <c r="I591" s="81" t="str">
        <f>CONCATENATE(Data!M591,"-",Data!L591)</f>
        <v>-</v>
      </c>
      <c r="N591" s="81">
        <f>IF(Data!P591,DATEDIF(Data!O591,Data!P591,"d"),0)</f>
        <v>0</v>
      </c>
      <c r="O591" s="81">
        <f>IF(Data!M591="CD",1,0)</f>
        <v>0</v>
      </c>
      <c r="P591" s="81">
        <f>IF(Data!M591="CD",0,1)</f>
        <v>1</v>
      </c>
      <c r="Q591" s="81">
        <f>IF(Data!Q591&gt;Data!P591,DATEDIF(Data!P591,Data!Q591,"d"),0)</f>
        <v>0</v>
      </c>
      <c r="R591" s="81">
        <f>IF(Data!R591&gt;Data!Q591,DATEDIF(Data!Q591,Data!R591,"d"),0)</f>
        <v>0</v>
      </c>
      <c r="X591"/>
      <c r="Y591"/>
      <c r="Z591"/>
    </row>
    <row r="592" spans="3:26" ht="16" x14ac:dyDescent="0.2">
      <c r="C592" s="80">
        <f t="shared" ca="1" si="20"/>
        <v>45959</v>
      </c>
      <c r="D592" s="81">
        <f>IF(Data!I592&lt;&gt;"",DATEDIF(Data!I592,C592,"m"),0)</f>
        <v>0</v>
      </c>
      <c r="E592" s="82">
        <f t="shared" si="21"/>
        <v>0</v>
      </c>
      <c r="I592" s="81" t="str">
        <f>CONCATENATE(Data!M592,"-",Data!L592)</f>
        <v>-</v>
      </c>
      <c r="N592" s="81">
        <f>IF(Data!P592,DATEDIF(Data!O592,Data!P592,"d"),0)</f>
        <v>0</v>
      </c>
      <c r="O592" s="81">
        <f>IF(Data!M592="CD",1,0)</f>
        <v>0</v>
      </c>
      <c r="P592" s="81">
        <f>IF(Data!M592="CD",0,1)</f>
        <v>1</v>
      </c>
      <c r="Q592" s="81">
        <f>IF(Data!Q592&gt;Data!P592,DATEDIF(Data!P592,Data!Q592,"d"),0)</f>
        <v>0</v>
      </c>
      <c r="R592" s="81">
        <f>IF(Data!R592&gt;Data!Q592,DATEDIF(Data!Q592,Data!R592,"d"),0)</f>
        <v>0</v>
      </c>
      <c r="X592"/>
      <c r="Y592"/>
      <c r="Z592"/>
    </row>
    <row r="593" spans="3:26" ht="16" x14ac:dyDescent="0.2">
      <c r="C593" s="80">
        <f t="shared" ca="1" si="20"/>
        <v>45959</v>
      </c>
      <c r="D593" s="81">
        <f>IF(Data!I593&lt;&gt;"",DATEDIF(Data!I593,C593,"m"),0)</f>
        <v>0</v>
      </c>
      <c r="E593" s="82">
        <f t="shared" si="21"/>
        <v>0</v>
      </c>
      <c r="I593" s="81" t="str">
        <f>CONCATENATE(Data!M593,"-",Data!L593)</f>
        <v>-</v>
      </c>
      <c r="N593" s="81">
        <f>IF(Data!P593,DATEDIF(Data!O593,Data!P593,"d"),0)</f>
        <v>0</v>
      </c>
      <c r="O593" s="81">
        <f>IF(Data!M593="CD",1,0)</f>
        <v>0</v>
      </c>
      <c r="P593" s="81">
        <f>IF(Data!M593="CD",0,1)</f>
        <v>1</v>
      </c>
      <c r="Q593" s="81">
        <f>IF(Data!Q593&gt;Data!P593,DATEDIF(Data!P593,Data!Q593,"d"),0)</f>
        <v>0</v>
      </c>
      <c r="R593" s="81">
        <f>IF(Data!R593&gt;Data!Q593,DATEDIF(Data!Q593,Data!R593,"d"),0)</f>
        <v>0</v>
      </c>
      <c r="X593"/>
      <c r="Y593"/>
      <c r="Z593"/>
    </row>
    <row r="594" spans="3:26" ht="16" x14ac:dyDescent="0.2">
      <c r="C594" s="80">
        <f t="shared" ca="1" si="20"/>
        <v>45959</v>
      </c>
      <c r="D594" s="81">
        <f>IF(Data!I594&lt;&gt;"",DATEDIF(Data!I594,C594,"m"),0)</f>
        <v>0</v>
      </c>
      <c r="E594" s="82">
        <f t="shared" si="21"/>
        <v>0</v>
      </c>
      <c r="I594" s="81" t="str">
        <f>CONCATENATE(Data!M594,"-",Data!L594)</f>
        <v>-</v>
      </c>
      <c r="N594" s="81">
        <f>IF(Data!P594,DATEDIF(Data!O594,Data!P594,"d"),0)</f>
        <v>0</v>
      </c>
      <c r="O594" s="81">
        <f>IF(Data!M594="CD",1,0)</f>
        <v>0</v>
      </c>
      <c r="P594" s="81">
        <f>IF(Data!M594="CD",0,1)</f>
        <v>1</v>
      </c>
      <c r="Q594" s="81">
        <f>IF(Data!Q594&gt;Data!P594,DATEDIF(Data!P594,Data!Q594,"d"),0)</f>
        <v>0</v>
      </c>
      <c r="R594" s="81">
        <f>IF(Data!R594&gt;Data!Q594,DATEDIF(Data!Q594,Data!R594,"d"),0)</f>
        <v>0</v>
      </c>
      <c r="X594"/>
      <c r="Y594"/>
      <c r="Z594"/>
    </row>
    <row r="595" spans="3:26" ht="16" x14ac:dyDescent="0.2">
      <c r="C595" s="80">
        <f t="shared" ca="1" si="20"/>
        <v>45959</v>
      </c>
      <c r="D595" s="81">
        <f>IF(Data!I595&lt;&gt;"",DATEDIF(Data!I595,C595,"m"),0)</f>
        <v>0</v>
      </c>
      <c r="E595" s="82">
        <f t="shared" si="21"/>
        <v>0</v>
      </c>
      <c r="I595" s="81" t="str">
        <f>CONCATENATE(Data!M595,"-",Data!L595)</f>
        <v>-</v>
      </c>
      <c r="N595" s="81">
        <f>IF(Data!P595,DATEDIF(Data!O595,Data!P595,"d"),0)</f>
        <v>0</v>
      </c>
      <c r="O595" s="81">
        <f>IF(Data!M595="CD",1,0)</f>
        <v>0</v>
      </c>
      <c r="P595" s="81">
        <f>IF(Data!M595="CD",0,1)</f>
        <v>1</v>
      </c>
      <c r="Q595" s="81">
        <f>IF(Data!Q595&gt;Data!P595,DATEDIF(Data!P595,Data!Q595,"d"),0)</f>
        <v>0</v>
      </c>
      <c r="R595" s="81">
        <f>IF(Data!R595&gt;Data!Q595,DATEDIF(Data!Q595,Data!R595,"d"),0)</f>
        <v>0</v>
      </c>
      <c r="X595"/>
      <c r="Y595"/>
      <c r="Z595"/>
    </row>
    <row r="596" spans="3:26" ht="16" x14ac:dyDescent="0.2">
      <c r="C596" s="80">
        <f t="shared" ca="1" si="20"/>
        <v>45959</v>
      </c>
      <c r="D596" s="81">
        <f>IF(Data!I596&lt;&gt;"",DATEDIF(Data!I596,C596,"m"),0)</f>
        <v>0</v>
      </c>
      <c r="E596" s="82">
        <f t="shared" si="21"/>
        <v>0</v>
      </c>
      <c r="I596" s="81" t="str">
        <f>CONCATENATE(Data!M596,"-",Data!L596)</f>
        <v>-</v>
      </c>
      <c r="N596" s="81">
        <f>IF(Data!P596,DATEDIF(Data!O596,Data!P596,"d"),0)</f>
        <v>0</v>
      </c>
      <c r="O596" s="81">
        <f>IF(Data!M596="CD",1,0)</f>
        <v>0</v>
      </c>
      <c r="P596" s="81">
        <f>IF(Data!M596="CD",0,1)</f>
        <v>1</v>
      </c>
      <c r="Q596" s="81">
        <f>IF(Data!Q596&gt;Data!P596,DATEDIF(Data!P596,Data!Q596,"d"),0)</f>
        <v>0</v>
      </c>
      <c r="R596" s="81">
        <f>IF(Data!R596&gt;Data!Q596,DATEDIF(Data!Q596,Data!R596,"d"),0)</f>
        <v>0</v>
      </c>
      <c r="X596"/>
      <c r="Y596"/>
      <c r="Z596"/>
    </row>
    <row r="597" spans="3:26" ht="16" x14ac:dyDescent="0.2">
      <c r="C597" s="80">
        <f t="shared" ca="1" si="20"/>
        <v>45959</v>
      </c>
      <c r="D597" s="81">
        <f>IF(Data!I597&lt;&gt;"",DATEDIF(Data!I597,C597,"m"),0)</f>
        <v>0</v>
      </c>
      <c r="E597" s="82">
        <f t="shared" si="21"/>
        <v>0</v>
      </c>
      <c r="I597" s="81" t="str">
        <f>CONCATENATE(Data!M597,"-",Data!L597)</f>
        <v>-</v>
      </c>
      <c r="N597" s="81">
        <f>IF(Data!P597,DATEDIF(Data!O597,Data!P597,"d"),0)</f>
        <v>0</v>
      </c>
      <c r="O597" s="81">
        <f>IF(Data!M597="CD",1,0)</f>
        <v>0</v>
      </c>
      <c r="P597" s="81">
        <f>IF(Data!M597="CD",0,1)</f>
        <v>1</v>
      </c>
      <c r="Q597" s="81">
        <f>IF(Data!Q597&gt;Data!P597,DATEDIF(Data!P597,Data!Q597,"d"),0)</f>
        <v>0</v>
      </c>
      <c r="R597" s="81">
        <f>IF(Data!R597&gt;Data!Q597,DATEDIF(Data!Q597,Data!R597,"d"),0)</f>
        <v>0</v>
      </c>
      <c r="X597"/>
      <c r="Y597"/>
      <c r="Z597"/>
    </row>
    <row r="598" spans="3:26" ht="16" x14ac:dyDescent="0.2">
      <c r="C598" s="80">
        <f t="shared" ca="1" si="20"/>
        <v>45959</v>
      </c>
      <c r="D598" s="81">
        <f>IF(Data!I598&lt;&gt;"",DATEDIF(Data!I598,C598,"m"),0)</f>
        <v>0</v>
      </c>
      <c r="E598" s="82">
        <f t="shared" si="21"/>
        <v>0</v>
      </c>
      <c r="I598" s="81" t="str">
        <f>CONCATENATE(Data!M598,"-",Data!L598)</f>
        <v>-</v>
      </c>
      <c r="N598" s="81">
        <f>IF(Data!P598,DATEDIF(Data!O598,Data!P598,"d"),0)</f>
        <v>0</v>
      </c>
      <c r="O598" s="81">
        <f>IF(Data!M598="CD",1,0)</f>
        <v>0</v>
      </c>
      <c r="P598" s="81">
        <f>IF(Data!M598="CD",0,1)</f>
        <v>1</v>
      </c>
      <c r="Q598" s="81">
        <f>IF(Data!Q598&gt;Data!P598,DATEDIF(Data!P598,Data!Q598,"d"),0)</f>
        <v>0</v>
      </c>
      <c r="R598" s="81">
        <f>IF(Data!R598&gt;Data!Q598,DATEDIF(Data!Q598,Data!R598,"d"),0)</f>
        <v>0</v>
      </c>
      <c r="X598"/>
      <c r="Y598"/>
      <c r="Z598"/>
    </row>
    <row r="599" spans="3:26" ht="16" x14ac:dyDescent="0.2">
      <c r="C599" s="80">
        <f t="shared" ca="1" si="20"/>
        <v>45959</v>
      </c>
      <c r="D599" s="81">
        <f>IF(Data!I599&lt;&gt;"",DATEDIF(Data!I599,C599,"m"),0)</f>
        <v>0</v>
      </c>
      <c r="E599" s="82">
        <f t="shared" si="21"/>
        <v>0</v>
      </c>
      <c r="I599" s="81" t="str">
        <f>CONCATENATE(Data!M599,"-",Data!L599)</f>
        <v>-</v>
      </c>
      <c r="N599" s="81">
        <f>IF(Data!P599,DATEDIF(Data!O599,Data!P599,"d"),0)</f>
        <v>0</v>
      </c>
      <c r="O599" s="81">
        <f>IF(Data!M599="CD",1,0)</f>
        <v>0</v>
      </c>
      <c r="P599" s="81">
        <f>IF(Data!M599="CD",0,1)</f>
        <v>1</v>
      </c>
      <c r="Q599" s="81">
        <f>IF(Data!Q599&gt;Data!P599,DATEDIF(Data!P599,Data!Q599,"d"),0)</f>
        <v>0</v>
      </c>
      <c r="R599" s="81">
        <f>IF(Data!R599&gt;Data!Q599,DATEDIF(Data!Q599,Data!R599,"d"),0)</f>
        <v>0</v>
      </c>
      <c r="Y599"/>
      <c r="Z599"/>
    </row>
    <row r="600" spans="3:26" ht="16" x14ac:dyDescent="0.2">
      <c r="C600" s="80">
        <f t="shared" ca="1" si="20"/>
        <v>45959</v>
      </c>
      <c r="D600" s="81">
        <f>IF(Data!I600&lt;&gt;"",DATEDIF(Data!I600,C600,"m"),0)</f>
        <v>0</v>
      </c>
      <c r="E600" s="82">
        <f t="shared" si="21"/>
        <v>0</v>
      </c>
      <c r="I600" s="81" t="str">
        <f>CONCATENATE(Data!M600,"-",Data!L600)</f>
        <v>-</v>
      </c>
      <c r="N600" s="81">
        <f>IF(Data!P600,DATEDIF(Data!O600,Data!P600,"d"),0)</f>
        <v>0</v>
      </c>
      <c r="O600" s="81">
        <f>IF(Data!M600="CD",1,0)</f>
        <v>0</v>
      </c>
      <c r="P600" s="81">
        <f>IF(Data!M600="CD",0,1)</f>
        <v>1</v>
      </c>
      <c r="Q600" s="81">
        <f>IF(Data!Q600&gt;Data!P600,DATEDIF(Data!P600,Data!Q600,"d"),0)</f>
        <v>0</v>
      </c>
      <c r="R600" s="81">
        <f>IF(Data!R600&gt;Data!Q600,DATEDIF(Data!Q600,Data!R600,"d"),0)</f>
        <v>0</v>
      </c>
      <c r="Y600"/>
      <c r="Z600"/>
    </row>
    <row r="601" spans="3:26" x14ac:dyDescent="0.2">
      <c r="C601" s="80">
        <f t="shared" ca="1" si="20"/>
        <v>45959</v>
      </c>
      <c r="D601" s="81">
        <f>IF(Data!I601&lt;&gt;"",DATEDIF(Data!I601,C601,"m"),0)</f>
        <v>0</v>
      </c>
      <c r="E601" s="82">
        <f t="shared" si="21"/>
        <v>0</v>
      </c>
      <c r="I601" s="81" t="str">
        <f>CONCATENATE(Data!M601,"-",Data!L601)</f>
        <v>-</v>
      </c>
      <c r="N601" s="81">
        <f>IF(Data!P601,DATEDIF(Data!O601,Data!P601,"d"),0)</f>
        <v>0</v>
      </c>
      <c r="O601" s="81">
        <f>IF(Data!M601="CD",1,0)</f>
        <v>0</v>
      </c>
      <c r="P601" s="81">
        <f>IF(Data!M601="CD",0,1)</f>
        <v>1</v>
      </c>
      <c r="Q601" s="81">
        <f>IF(Data!Q601&gt;Data!P601,DATEDIF(Data!P601,Data!Q601,"d"),0)</f>
        <v>0</v>
      </c>
      <c r="R601" s="81">
        <f>IF(Data!R601&gt;Data!Q601,DATEDIF(Data!Q601,Data!R601,"d"),0)</f>
        <v>0</v>
      </c>
    </row>
    <row r="602" spans="3:26" x14ac:dyDescent="0.2">
      <c r="C602" s="80">
        <f t="shared" ca="1" si="20"/>
        <v>45959</v>
      </c>
      <c r="D602" s="81">
        <f>IF(Data!I602&lt;&gt;"",DATEDIF(Data!I602,C602,"m"),0)</f>
        <v>0</v>
      </c>
      <c r="E602" s="82">
        <f t="shared" si="21"/>
        <v>0</v>
      </c>
      <c r="I602" s="81" t="str">
        <f>CONCATENATE(Data!M602,"-",Data!L602)</f>
        <v>-</v>
      </c>
      <c r="N602" s="81">
        <f>IF(Data!P602,DATEDIF(Data!O602,Data!P602,"d"),0)</f>
        <v>0</v>
      </c>
      <c r="O602" s="81">
        <f>IF(Data!M602="CD",1,0)</f>
        <v>0</v>
      </c>
      <c r="P602" s="81">
        <f>IF(Data!M602="CD",0,1)</f>
        <v>1</v>
      </c>
      <c r="Q602" s="81">
        <f>IF(Data!Q602&gt;Data!P602,DATEDIF(Data!P602,Data!Q602,"d"),0)</f>
        <v>0</v>
      </c>
      <c r="R602" s="81">
        <f>IF(Data!R602&gt;Data!Q602,DATEDIF(Data!Q602,Data!R602,"d"),0)</f>
        <v>0</v>
      </c>
    </row>
    <row r="603" spans="3:26" x14ac:dyDescent="0.2">
      <c r="C603" s="80">
        <f t="shared" ca="1" si="20"/>
        <v>45959</v>
      </c>
      <c r="D603" s="81">
        <f>IF(Data!I603&lt;&gt;"",DATEDIF(Data!I603,C603,"m"),0)</f>
        <v>0</v>
      </c>
      <c r="E603" s="82">
        <f t="shared" si="21"/>
        <v>0</v>
      </c>
      <c r="I603" s="81" t="str">
        <f>CONCATENATE(Data!M603,"-",Data!L603)</f>
        <v>-</v>
      </c>
      <c r="N603" s="81">
        <f>IF(Data!P603,DATEDIF(Data!O603,Data!P603,"d"),0)</f>
        <v>0</v>
      </c>
      <c r="O603" s="81">
        <f>IF(Data!M603="CD",1,0)</f>
        <v>0</v>
      </c>
      <c r="P603" s="81">
        <f>IF(Data!M603="CD",0,1)</f>
        <v>1</v>
      </c>
      <c r="Q603" s="81">
        <f>IF(Data!Q603&gt;Data!P603,DATEDIF(Data!P603,Data!Q603,"d"),0)</f>
        <v>0</v>
      </c>
      <c r="R603" s="81">
        <f>IF(Data!R603&gt;Data!Q603,DATEDIF(Data!Q603,Data!R603,"d"),0)</f>
        <v>0</v>
      </c>
    </row>
    <row r="604" spans="3:26" x14ac:dyDescent="0.2">
      <c r="C604" s="80">
        <f t="shared" ca="1" si="20"/>
        <v>45959</v>
      </c>
      <c r="D604" s="81">
        <f>IF(Data!I604&lt;&gt;"",DATEDIF(Data!I604,C604,"m"),0)</f>
        <v>0</v>
      </c>
      <c r="E604" s="82">
        <f t="shared" si="21"/>
        <v>0</v>
      </c>
      <c r="I604" s="81" t="str">
        <f>CONCATENATE(Data!M604,"-",Data!L604)</f>
        <v>-</v>
      </c>
      <c r="N604" s="81">
        <f>IF(Data!P604,DATEDIF(Data!O604,Data!P604,"d"),0)</f>
        <v>0</v>
      </c>
      <c r="O604" s="81">
        <f>IF(Data!M604="CD",1,0)</f>
        <v>0</v>
      </c>
      <c r="P604" s="81">
        <f>IF(Data!M604="CD",0,1)</f>
        <v>1</v>
      </c>
      <c r="Q604" s="81">
        <f>IF(Data!Q604&gt;Data!P604,DATEDIF(Data!P604,Data!Q604,"d"),0)</f>
        <v>0</v>
      </c>
      <c r="R604" s="81">
        <f>IF(Data!R604&gt;Data!Q604,DATEDIF(Data!Q604,Data!R604,"d"),0)</f>
        <v>0</v>
      </c>
    </row>
    <row r="605" spans="3:26" x14ac:dyDescent="0.2">
      <c r="C605" s="80">
        <f t="shared" ca="1" si="20"/>
        <v>45959</v>
      </c>
      <c r="D605" s="81">
        <f>IF(Data!I605&lt;&gt;"",DATEDIF(Data!I605,C605,"m"),0)</f>
        <v>0</v>
      </c>
      <c r="E605" s="82">
        <f t="shared" si="21"/>
        <v>0</v>
      </c>
      <c r="I605" s="81" t="str">
        <f>CONCATENATE(Data!M605,"-",Data!L605)</f>
        <v>-</v>
      </c>
      <c r="N605" s="81">
        <f>IF(Data!P605,DATEDIF(Data!O605,Data!P605,"d"),0)</f>
        <v>0</v>
      </c>
      <c r="O605" s="81">
        <f>IF(Data!M605="CD",1,0)</f>
        <v>0</v>
      </c>
      <c r="P605" s="81">
        <f>IF(Data!M605="CD",0,1)</f>
        <v>1</v>
      </c>
      <c r="Q605" s="81">
        <f>IF(Data!Q605&gt;Data!P605,DATEDIF(Data!P605,Data!Q605,"d"),0)</f>
        <v>0</v>
      </c>
      <c r="R605" s="81">
        <f>IF(Data!R605&gt;Data!Q605,DATEDIF(Data!Q605,Data!R605,"d"),0)</f>
        <v>0</v>
      </c>
    </row>
    <row r="606" spans="3:26" x14ac:dyDescent="0.2">
      <c r="C606" s="80">
        <f t="shared" ca="1" si="20"/>
        <v>45959</v>
      </c>
      <c r="D606" s="81">
        <f>IF(Data!I606&lt;&gt;"",DATEDIF(Data!I606,C606,"m"),0)</f>
        <v>0</v>
      </c>
      <c r="E606" s="82">
        <f t="shared" si="21"/>
        <v>0</v>
      </c>
      <c r="I606" s="81" t="str">
        <f>CONCATENATE(Data!M606,"-",Data!L606)</f>
        <v>-</v>
      </c>
      <c r="N606" s="81">
        <f>IF(Data!P606,DATEDIF(Data!O606,Data!P606,"d"),0)</f>
        <v>0</v>
      </c>
      <c r="O606" s="81">
        <f>IF(Data!M606="CD",1,0)</f>
        <v>0</v>
      </c>
      <c r="P606" s="81">
        <f>IF(Data!M606="CD",0,1)</f>
        <v>1</v>
      </c>
      <c r="Q606" s="81">
        <f>IF(Data!Q606&gt;Data!P606,DATEDIF(Data!P606,Data!Q606,"d"),0)</f>
        <v>0</v>
      </c>
      <c r="R606" s="81">
        <f>IF(Data!R606&gt;Data!Q606,DATEDIF(Data!Q606,Data!R606,"d"),0)</f>
        <v>0</v>
      </c>
    </row>
    <row r="607" spans="3:26" x14ac:dyDescent="0.2">
      <c r="C607" s="80">
        <f t="shared" ca="1" si="20"/>
        <v>45959</v>
      </c>
      <c r="D607" s="81">
        <f>IF(Data!I607&lt;&gt;"",DATEDIF(Data!I607,C607,"m"),0)</f>
        <v>0</v>
      </c>
      <c r="E607" s="82">
        <f t="shared" si="21"/>
        <v>0</v>
      </c>
      <c r="I607" s="81" t="str">
        <f>CONCATENATE(Data!M607,"-",Data!L607)</f>
        <v>-</v>
      </c>
      <c r="N607" s="81">
        <f>IF(Data!P607,DATEDIF(Data!O607,Data!P607,"d"),0)</f>
        <v>0</v>
      </c>
      <c r="O607" s="81">
        <f>IF(Data!M607="CD",1,0)</f>
        <v>0</v>
      </c>
      <c r="P607" s="81">
        <f>IF(Data!M607="CD",0,1)</f>
        <v>1</v>
      </c>
      <c r="Q607" s="81">
        <f>IF(Data!Q607&gt;Data!P607,DATEDIF(Data!P607,Data!Q607,"d"),0)</f>
        <v>0</v>
      </c>
      <c r="R607" s="81">
        <f>IF(Data!R607&gt;Data!Q607,DATEDIF(Data!Q607,Data!R607,"d"),0)</f>
        <v>0</v>
      </c>
    </row>
    <row r="608" spans="3:26" x14ac:dyDescent="0.2">
      <c r="C608" s="80">
        <f t="shared" ca="1" si="20"/>
        <v>45959</v>
      </c>
      <c r="D608" s="81">
        <f>IF(Data!I608&lt;&gt;"",DATEDIF(Data!I608,C608,"m"),0)</f>
        <v>0</v>
      </c>
      <c r="E608" s="82">
        <f t="shared" si="21"/>
        <v>0</v>
      </c>
      <c r="I608" s="81" t="str">
        <f>CONCATENATE(Data!M608,"-",Data!L608)</f>
        <v>-</v>
      </c>
      <c r="N608" s="81">
        <f>IF(Data!P608,DATEDIF(Data!O608,Data!P608,"d"),0)</f>
        <v>0</v>
      </c>
      <c r="O608" s="81">
        <f>IF(Data!M608="CD",1,0)</f>
        <v>0</v>
      </c>
      <c r="P608" s="81">
        <f>IF(Data!M608="CD",0,1)</f>
        <v>1</v>
      </c>
      <c r="Q608" s="81">
        <f>IF(Data!Q608&gt;Data!P608,DATEDIF(Data!P608,Data!Q608,"d"),0)</f>
        <v>0</v>
      </c>
      <c r="R608" s="81">
        <f>IF(Data!R608&gt;Data!Q608,DATEDIF(Data!Q608,Data!R608,"d"),0)</f>
        <v>0</v>
      </c>
    </row>
    <row r="609" spans="3:18" x14ac:dyDescent="0.2">
      <c r="C609" s="80">
        <f t="shared" ca="1" si="20"/>
        <v>45959</v>
      </c>
      <c r="D609" s="81">
        <f>IF(Data!I609&lt;&gt;"",DATEDIF(Data!I609,C609,"m"),0)</f>
        <v>0</v>
      </c>
      <c r="E609" s="82">
        <f t="shared" si="21"/>
        <v>0</v>
      </c>
      <c r="I609" s="81" t="str">
        <f>CONCATENATE(Data!M609,"-",Data!L609)</f>
        <v>-</v>
      </c>
      <c r="N609" s="81">
        <f>IF(Data!P609,DATEDIF(Data!O609,Data!P609,"d"),0)</f>
        <v>0</v>
      </c>
      <c r="O609" s="81">
        <f>IF(Data!M609="CD",1,0)</f>
        <v>0</v>
      </c>
      <c r="P609" s="81">
        <f>IF(Data!M609="CD",0,1)</f>
        <v>1</v>
      </c>
      <c r="Q609" s="81">
        <f>IF(Data!Q609&gt;Data!P609,DATEDIF(Data!P609,Data!Q609,"d"),0)</f>
        <v>0</v>
      </c>
      <c r="R609" s="81">
        <f>IF(Data!R609&gt;Data!Q609,DATEDIF(Data!Q609,Data!R609,"d"),0)</f>
        <v>0</v>
      </c>
    </row>
    <row r="610" spans="3:18" x14ac:dyDescent="0.2">
      <c r="C610" s="80">
        <f t="shared" ca="1" si="20"/>
        <v>45959</v>
      </c>
      <c r="D610" s="81">
        <f>IF(Data!I610&lt;&gt;"",DATEDIF(Data!I610,C610,"m"),0)</f>
        <v>0</v>
      </c>
      <c r="E610" s="82">
        <f t="shared" si="21"/>
        <v>0</v>
      </c>
      <c r="I610" s="81" t="str">
        <f>CONCATENATE(Data!M610,"-",Data!L610)</f>
        <v>-</v>
      </c>
      <c r="N610" s="81">
        <f>IF(Data!P610,DATEDIF(Data!O610,Data!P610,"d"),0)</f>
        <v>0</v>
      </c>
      <c r="O610" s="81">
        <f>IF(Data!M610="CD",1,0)</f>
        <v>0</v>
      </c>
      <c r="P610" s="81">
        <f>IF(Data!M610="CD",0,1)</f>
        <v>1</v>
      </c>
      <c r="Q610" s="81">
        <f>IF(Data!Q610&gt;Data!P610,DATEDIF(Data!P610,Data!Q610,"d"),0)</f>
        <v>0</v>
      </c>
      <c r="R610" s="81">
        <f>IF(Data!R610&gt;Data!Q610,DATEDIF(Data!Q610,Data!R610,"d"),0)</f>
        <v>0</v>
      </c>
    </row>
    <row r="611" spans="3:18" x14ac:dyDescent="0.2">
      <c r="C611" s="80">
        <f t="shared" ca="1" si="20"/>
        <v>45959</v>
      </c>
      <c r="D611" s="81">
        <f>IF(Data!I611&lt;&gt;"",DATEDIF(Data!I611,C611,"m"),0)</f>
        <v>0</v>
      </c>
      <c r="E611" s="82">
        <f t="shared" si="21"/>
        <v>0</v>
      </c>
      <c r="I611" s="81" t="str">
        <f>CONCATENATE(Data!M611,"-",Data!L611)</f>
        <v>-</v>
      </c>
      <c r="N611" s="81">
        <f>IF(Data!P611,DATEDIF(Data!O611,Data!P611,"d"),0)</f>
        <v>0</v>
      </c>
      <c r="O611" s="81">
        <f>IF(Data!M611="CD",1,0)</f>
        <v>0</v>
      </c>
      <c r="P611" s="81">
        <f>IF(Data!M611="CD",0,1)</f>
        <v>1</v>
      </c>
      <c r="Q611" s="81">
        <f>IF(Data!Q611&gt;Data!P611,DATEDIF(Data!P611,Data!Q611,"d"),0)</f>
        <v>0</v>
      </c>
      <c r="R611" s="81">
        <f>IF(Data!R611&gt;Data!Q611,DATEDIF(Data!Q611,Data!R611,"d"),0)</f>
        <v>0</v>
      </c>
    </row>
    <row r="612" spans="3:18" x14ac:dyDescent="0.2">
      <c r="C612" s="80">
        <f t="shared" ca="1" si="20"/>
        <v>45959</v>
      </c>
      <c r="D612" s="81">
        <f>IF(Data!I612&lt;&gt;"",DATEDIF(Data!I612,C612,"m"),0)</f>
        <v>0</v>
      </c>
      <c r="E612" s="82">
        <f t="shared" si="21"/>
        <v>0</v>
      </c>
      <c r="I612" s="81" t="str">
        <f>CONCATENATE(Data!M612,"-",Data!L612)</f>
        <v>-</v>
      </c>
      <c r="N612" s="81">
        <f>IF(Data!P612,DATEDIF(Data!O612,Data!P612,"d"),0)</f>
        <v>0</v>
      </c>
      <c r="O612" s="81">
        <f>IF(Data!M612="CD",1,0)</f>
        <v>0</v>
      </c>
      <c r="P612" s="81">
        <f>IF(Data!M612="CD",0,1)</f>
        <v>1</v>
      </c>
      <c r="Q612" s="81">
        <f>IF(Data!Q612&gt;Data!P612,DATEDIF(Data!P612,Data!Q612,"d"),0)</f>
        <v>0</v>
      </c>
      <c r="R612" s="81">
        <f>IF(Data!R612&gt;Data!Q612,DATEDIF(Data!Q612,Data!R612,"d"),0)</f>
        <v>0</v>
      </c>
    </row>
    <row r="613" spans="3:18" x14ac:dyDescent="0.2">
      <c r="C613" s="80">
        <f t="shared" ca="1" si="20"/>
        <v>45959</v>
      </c>
      <c r="D613" s="81">
        <f>IF(Data!I613&lt;&gt;"",DATEDIF(Data!I613,C613,"m"),0)</f>
        <v>0</v>
      </c>
      <c r="E613" s="82">
        <f t="shared" si="21"/>
        <v>0</v>
      </c>
      <c r="I613" s="81" t="str">
        <f>CONCATENATE(Data!M613,"-",Data!L613)</f>
        <v>-</v>
      </c>
      <c r="N613" s="81">
        <f>IF(Data!P613,DATEDIF(Data!O613,Data!P613,"d"),0)</f>
        <v>0</v>
      </c>
      <c r="O613" s="81">
        <f>IF(Data!M613="CD",1,0)</f>
        <v>0</v>
      </c>
      <c r="P613" s="81">
        <f>IF(Data!M613="CD",0,1)</f>
        <v>1</v>
      </c>
      <c r="Q613" s="81">
        <f>IF(Data!Q613&gt;Data!P613,DATEDIF(Data!P613,Data!Q613,"d"),0)</f>
        <v>0</v>
      </c>
      <c r="R613" s="81">
        <f>IF(Data!R613&gt;Data!Q613,DATEDIF(Data!Q613,Data!R613,"d"),0)</f>
        <v>0</v>
      </c>
    </row>
    <row r="614" spans="3:18" x14ac:dyDescent="0.2">
      <c r="C614" s="80">
        <f t="shared" ca="1" si="20"/>
        <v>45959</v>
      </c>
      <c r="D614" s="81">
        <f>IF(Data!I614&lt;&gt;"",DATEDIF(Data!I614,C614,"m"),0)</f>
        <v>0</v>
      </c>
      <c r="E614" s="82">
        <f t="shared" si="21"/>
        <v>0</v>
      </c>
      <c r="I614" s="81" t="str">
        <f>CONCATENATE(Data!M614,"-",Data!L614)</f>
        <v>-</v>
      </c>
      <c r="N614" s="81">
        <f>IF(Data!P614,DATEDIF(Data!O614,Data!P614,"d"),0)</f>
        <v>0</v>
      </c>
      <c r="O614" s="81">
        <f>IF(Data!M614="CD",1,0)</f>
        <v>0</v>
      </c>
      <c r="P614" s="81">
        <f>IF(Data!M614="CD",0,1)</f>
        <v>1</v>
      </c>
      <c r="Q614" s="81">
        <f>IF(Data!Q614&gt;Data!P614,DATEDIF(Data!P614,Data!Q614,"d"),0)</f>
        <v>0</v>
      </c>
      <c r="R614" s="81">
        <f>IF(Data!R614&gt;Data!Q614,DATEDIF(Data!Q614,Data!R614,"d"),0)</f>
        <v>0</v>
      </c>
    </row>
    <row r="615" spans="3:18" x14ac:dyDescent="0.2">
      <c r="C615" s="80">
        <f t="shared" ca="1" si="20"/>
        <v>45959</v>
      </c>
      <c r="D615" s="81">
        <f>IF(Data!I615&lt;&gt;"",DATEDIF(Data!I615,C615,"m"),0)</f>
        <v>0</v>
      </c>
      <c r="E615" s="82">
        <f t="shared" si="21"/>
        <v>0</v>
      </c>
      <c r="I615" s="81" t="str">
        <f>CONCATENATE(Data!M615,"-",Data!L615)</f>
        <v>-</v>
      </c>
      <c r="N615" s="81">
        <f>IF(Data!P615,DATEDIF(Data!O615,Data!P615,"d"),0)</f>
        <v>0</v>
      </c>
      <c r="O615" s="81">
        <f>IF(Data!M615="CD",1,0)</f>
        <v>0</v>
      </c>
      <c r="P615" s="81">
        <f>IF(Data!M615="CD",0,1)</f>
        <v>1</v>
      </c>
      <c r="Q615" s="81">
        <f>IF(Data!Q615&gt;Data!P615,DATEDIF(Data!P615,Data!Q615,"d"),0)</f>
        <v>0</v>
      </c>
      <c r="R615" s="81">
        <f>IF(Data!R615&gt;Data!Q615,DATEDIF(Data!Q615,Data!R615,"d"),0)</f>
        <v>0</v>
      </c>
    </row>
    <row r="616" spans="3:18" x14ac:dyDescent="0.2">
      <c r="C616" s="80">
        <f t="shared" ca="1" si="20"/>
        <v>45959</v>
      </c>
      <c r="D616" s="81">
        <f>IF(Data!I616&lt;&gt;"",DATEDIF(Data!I616,C616,"m"),0)</f>
        <v>0</v>
      </c>
      <c r="E616" s="82">
        <f t="shared" si="21"/>
        <v>0</v>
      </c>
      <c r="I616" s="81" t="str">
        <f>CONCATENATE(Data!M616,"-",Data!L616)</f>
        <v>-</v>
      </c>
      <c r="N616" s="81">
        <f>IF(Data!P616,DATEDIF(Data!O616,Data!P616,"d"),0)</f>
        <v>0</v>
      </c>
      <c r="O616" s="81">
        <f>IF(Data!M616="CD",1,0)</f>
        <v>0</v>
      </c>
      <c r="P616" s="81">
        <f>IF(Data!M616="CD",0,1)</f>
        <v>1</v>
      </c>
      <c r="Q616" s="81">
        <f>IF(Data!Q616&gt;Data!P616,DATEDIF(Data!P616,Data!Q616,"d"),0)</f>
        <v>0</v>
      </c>
      <c r="R616" s="81">
        <f>IF(Data!R616&gt;Data!Q616,DATEDIF(Data!Q616,Data!R616,"d"),0)</f>
        <v>0</v>
      </c>
    </row>
    <row r="617" spans="3:18" x14ac:dyDescent="0.2">
      <c r="C617" s="80">
        <f t="shared" ca="1" si="20"/>
        <v>45959</v>
      </c>
      <c r="D617" s="81">
        <f>IF(Data!I617&lt;&gt;"",DATEDIF(Data!I617,C617,"m"),0)</f>
        <v>0</v>
      </c>
      <c r="E617" s="82">
        <f t="shared" si="21"/>
        <v>0</v>
      </c>
      <c r="I617" s="81" t="str">
        <f>CONCATENATE(Data!M617,"-",Data!L617)</f>
        <v>-</v>
      </c>
      <c r="N617" s="81">
        <f>IF(Data!P617,DATEDIF(Data!O617,Data!P617,"d"),0)</f>
        <v>0</v>
      </c>
      <c r="O617" s="81">
        <f>IF(Data!M617="CD",1,0)</f>
        <v>0</v>
      </c>
      <c r="P617" s="81">
        <f>IF(Data!M617="CD",0,1)</f>
        <v>1</v>
      </c>
      <c r="Q617" s="81">
        <f>IF(Data!Q617&gt;Data!P617,DATEDIF(Data!P617,Data!Q617,"d"),0)</f>
        <v>0</v>
      </c>
      <c r="R617" s="81">
        <f>IF(Data!R617&gt;Data!Q617,DATEDIF(Data!Q617,Data!R617,"d"),0)</f>
        <v>0</v>
      </c>
    </row>
    <row r="618" spans="3:18" x14ac:dyDescent="0.2">
      <c r="C618" s="80">
        <f t="shared" ca="1" si="20"/>
        <v>45959</v>
      </c>
      <c r="D618" s="81">
        <f>IF(Data!I618&lt;&gt;"",DATEDIF(Data!I618,C618,"m"),0)</f>
        <v>0</v>
      </c>
      <c r="E618" s="82">
        <f t="shared" si="21"/>
        <v>0</v>
      </c>
      <c r="I618" s="81" t="str">
        <f>CONCATENATE(Data!M618,"-",Data!L618)</f>
        <v>-</v>
      </c>
      <c r="N618" s="81">
        <f>IF(Data!P618,DATEDIF(Data!O618,Data!P618,"d"),0)</f>
        <v>0</v>
      </c>
      <c r="O618" s="81">
        <f>IF(Data!M618="CD",1,0)</f>
        <v>0</v>
      </c>
      <c r="P618" s="81">
        <f>IF(Data!M618="CD",0,1)</f>
        <v>1</v>
      </c>
      <c r="Q618" s="81">
        <f>IF(Data!Q618&gt;Data!P618,DATEDIF(Data!P618,Data!Q618,"d"),0)</f>
        <v>0</v>
      </c>
      <c r="R618" s="81">
        <f>IF(Data!R618&gt;Data!Q618,DATEDIF(Data!Q618,Data!R618,"d"),0)</f>
        <v>0</v>
      </c>
    </row>
    <row r="619" spans="3:18" x14ac:dyDescent="0.2">
      <c r="C619" s="80">
        <f t="shared" ca="1" si="20"/>
        <v>45959</v>
      </c>
      <c r="D619" s="81">
        <f>IF(Data!I619&lt;&gt;"",DATEDIF(Data!I619,C619,"m"),0)</f>
        <v>0</v>
      </c>
      <c r="E619" s="82">
        <f t="shared" si="21"/>
        <v>0</v>
      </c>
      <c r="I619" s="81" t="str">
        <f>CONCATENATE(Data!M619,"-",Data!L619)</f>
        <v>-</v>
      </c>
      <c r="N619" s="81">
        <f>IF(Data!P619,DATEDIF(Data!O619,Data!P619,"d"),0)</f>
        <v>0</v>
      </c>
      <c r="O619" s="81">
        <f>IF(Data!M619="CD",1,0)</f>
        <v>0</v>
      </c>
      <c r="P619" s="81">
        <f>IF(Data!M619="CD",0,1)</f>
        <v>1</v>
      </c>
      <c r="Q619" s="81">
        <f>IF(Data!Q619&gt;Data!P619,DATEDIF(Data!P619,Data!Q619,"d"),0)</f>
        <v>0</v>
      </c>
      <c r="R619" s="81">
        <f>IF(Data!R619&gt;Data!Q619,DATEDIF(Data!Q619,Data!R619,"d"),0)</f>
        <v>0</v>
      </c>
    </row>
    <row r="620" spans="3:18" x14ac:dyDescent="0.2">
      <c r="C620" s="80">
        <f t="shared" ca="1" si="20"/>
        <v>45959</v>
      </c>
      <c r="D620" s="81">
        <f>IF(Data!I620&lt;&gt;"",DATEDIF(Data!I620,C620,"m"),0)</f>
        <v>0</v>
      </c>
      <c r="E620" s="82">
        <f t="shared" si="21"/>
        <v>0</v>
      </c>
      <c r="I620" s="81" t="str">
        <f>CONCATENATE(Data!M620,"-",Data!L620)</f>
        <v>-</v>
      </c>
      <c r="N620" s="81">
        <f>IF(Data!P620,DATEDIF(Data!O620,Data!P620,"d"),0)</f>
        <v>0</v>
      </c>
      <c r="O620" s="81">
        <f>IF(Data!M620="CD",1,0)</f>
        <v>0</v>
      </c>
      <c r="P620" s="81">
        <f>IF(Data!M620="CD",0,1)</f>
        <v>1</v>
      </c>
      <c r="Q620" s="81">
        <f>IF(Data!Q620&gt;Data!P620,DATEDIF(Data!P620,Data!Q620,"d"),0)</f>
        <v>0</v>
      </c>
      <c r="R620" s="81">
        <f>IF(Data!R620&gt;Data!Q620,DATEDIF(Data!Q620,Data!R620,"d"),0)</f>
        <v>0</v>
      </c>
    </row>
    <row r="621" spans="3:18" x14ac:dyDescent="0.2">
      <c r="C621" s="80">
        <f t="shared" ca="1" si="20"/>
        <v>45959</v>
      </c>
      <c r="D621" s="81">
        <f>IF(Data!I621&lt;&gt;"",DATEDIF(Data!I621,C621,"m"),0)</f>
        <v>0</v>
      </c>
      <c r="E621" s="82">
        <f t="shared" si="21"/>
        <v>0</v>
      </c>
      <c r="I621" s="81" t="str">
        <f>CONCATENATE(Data!M621,"-",Data!L621)</f>
        <v>-</v>
      </c>
      <c r="N621" s="81">
        <f>IF(Data!P621,DATEDIF(Data!O621,Data!P621,"d"),0)</f>
        <v>0</v>
      </c>
      <c r="O621" s="81">
        <f>IF(Data!M621="CD",1,0)</f>
        <v>0</v>
      </c>
      <c r="P621" s="81">
        <f>IF(Data!M621="CD",0,1)</f>
        <v>1</v>
      </c>
      <c r="Q621" s="81">
        <f>IF(Data!Q621&gt;Data!P621,DATEDIF(Data!P621,Data!Q621,"d"),0)</f>
        <v>0</v>
      </c>
      <c r="R621" s="81">
        <f>IF(Data!R621&gt;Data!Q621,DATEDIF(Data!Q621,Data!R621,"d"),0)</f>
        <v>0</v>
      </c>
    </row>
    <row r="622" spans="3:18" x14ac:dyDescent="0.2">
      <c r="C622" s="80">
        <f t="shared" ca="1" si="20"/>
        <v>45959</v>
      </c>
      <c r="D622" s="81">
        <f>IF(Data!I622&lt;&gt;"",DATEDIF(Data!I622,C622,"m"),0)</f>
        <v>0</v>
      </c>
      <c r="E622" s="82">
        <f t="shared" si="21"/>
        <v>0</v>
      </c>
      <c r="I622" s="81" t="str">
        <f>CONCATENATE(Data!M622,"-",Data!L622)</f>
        <v>-</v>
      </c>
      <c r="N622" s="81">
        <f>IF(Data!P622,DATEDIF(Data!O622,Data!P622,"d"),0)</f>
        <v>0</v>
      </c>
      <c r="O622" s="81">
        <f>IF(Data!M622="CD",1,0)</f>
        <v>0</v>
      </c>
      <c r="P622" s="81">
        <f>IF(Data!M622="CD",0,1)</f>
        <v>1</v>
      </c>
      <c r="Q622" s="81">
        <f>IF(Data!Q622&gt;Data!P622,DATEDIF(Data!P622,Data!Q622,"d"),0)</f>
        <v>0</v>
      </c>
      <c r="R622" s="81">
        <f>IF(Data!R622&gt;Data!Q622,DATEDIF(Data!Q622,Data!R622,"d"),0)</f>
        <v>0</v>
      </c>
    </row>
    <row r="623" spans="3:18" x14ac:dyDescent="0.2">
      <c r="C623" s="80">
        <f t="shared" ca="1" si="20"/>
        <v>45959</v>
      </c>
      <c r="D623" s="81">
        <f>IF(Data!I623&lt;&gt;"",DATEDIF(Data!I623,C623,"m"),0)</f>
        <v>0</v>
      </c>
      <c r="E623" s="82">
        <f t="shared" si="21"/>
        <v>0</v>
      </c>
      <c r="I623" s="81" t="str">
        <f>CONCATENATE(Data!M623,"-",Data!L623)</f>
        <v>-</v>
      </c>
      <c r="N623" s="81">
        <f>IF(Data!P623,DATEDIF(Data!O623,Data!P623,"d"),0)</f>
        <v>0</v>
      </c>
      <c r="O623" s="81">
        <f>IF(Data!M623="CD",1,0)</f>
        <v>0</v>
      </c>
      <c r="P623" s="81">
        <f>IF(Data!M623="CD",0,1)</f>
        <v>1</v>
      </c>
      <c r="Q623" s="81">
        <f>IF(Data!Q623&gt;Data!P623,DATEDIF(Data!P623,Data!Q623,"d"),0)</f>
        <v>0</v>
      </c>
      <c r="R623" s="81">
        <f>IF(Data!R623&gt;Data!Q623,DATEDIF(Data!Q623,Data!R623,"d"),0)</f>
        <v>0</v>
      </c>
    </row>
    <row r="624" spans="3:18" x14ac:dyDescent="0.2">
      <c r="C624" s="80">
        <f t="shared" ca="1" si="20"/>
        <v>45959</v>
      </c>
      <c r="D624" s="81">
        <f>IF(Data!I624&lt;&gt;"",DATEDIF(Data!I624,C624,"m"),0)</f>
        <v>0</v>
      </c>
      <c r="E624" s="82">
        <f t="shared" si="21"/>
        <v>0</v>
      </c>
      <c r="I624" s="81" t="str">
        <f>CONCATENATE(Data!M624,"-",Data!L624)</f>
        <v>-</v>
      </c>
      <c r="N624" s="81">
        <f>IF(Data!P624,DATEDIF(Data!O624,Data!P624,"d"),0)</f>
        <v>0</v>
      </c>
      <c r="O624" s="81">
        <f>IF(Data!M624="CD",1,0)</f>
        <v>0</v>
      </c>
      <c r="P624" s="81">
        <f>IF(Data!M624="CD",0,1)</f>
        <v>1</v>
      </c>
      <c r="Q624" s="81">
        <f>IF(Data!Q624&gt;Data!P624,DATEDIF(Data!P624,Data!Q624,"d"),0)</f>
        <v>0</v>
      </c>
      <c r="R624" s="81">
        <f>IF(Data!R624&gt;Data!Q624,DATEDIF(Data!Q624,Data!R624,"d"),0)</f>
        <v>0</v>
      </c>
    </row>
    <row r="625" spans="3:18" x14ac:dyDescent="0.2">
      <c r="C625" s="80">
        <f t="shared" ca="1" si="20"/>
        <v>45959</v>
      </c>
      <c r="D625" s="81">
        <f>IF(Data!I625&lt;&gt;"",DATEDIF(Data!I625,C625,"m"),0)</f>
        <v>0</v>
      </c>
      <c r="E625" s="82">
        <f t="shared" si="21"/>
        <v>0</v>
      </c>
      <c r="I625" s="81" t="str">
        <f>CONCATENATE(Data!M625,"-",Data!L625)</f>
        <v>-</v>
      </c>
      <c r="N625" s="81">
        <f>IF(Data!P625,DATEDIF(Data!O625,Data!P625,"d"),0)</f>
        <v>0</v>
      </c>
      <c r="O625" s="81">
        <f>IF(Data!M625="CD",1,0)</f>
        <v>0</v>
      </c>
      <c r="P625" s="81">
        <f>IF(Data!M625="CD",0,1)</f>
        <v>1</v>
      </c>
      <c r="Q625" s="81">
        <f>IF(Data!Q625&gt;Data!P625,DATEDIF(Data!P625,Data!Q625,"d"),0)</f>
        <v>0</v>
      </c>
      <c r="R625" s="81">
        <f>IF(Data!R625&gt;Data!Q625,DATEDIF(Data!Q625,Data!R625,"d"),0)</f>
        <v>0</v>
      </c>
    </row>
    <row r="626" spans="3:18" x14ac:dyDescent="0.2">
      <c r="C626" s="80">
        <f t="shared" ca="1" si="20"/>
        <v>45959</v>
      </c>
      <c r="D626" s="81">
        <f>IF(Data!I626&lt;&gt;"",DATEDIF(Data!I626,C626,"m"),0)</f>
        <v>0</v>
      </c>
      <c r="E626" s="82">
        <f t="shared" si="21"/>
        <v>0</v>
      </c>
      <c r="I626" s="81" t="str">
        <f>CONCATENATE(Data!M626,"-",Data!L626)</f>
        <v>-</v>
      </c>
      <c r="N626" s="81">
        <f>IF(Data!P626,DATEDIF(Data!O626,Data!P626,"d"),0)</f>
        <v>0</v>
      </c>
      <c r="O626" s="81">
        <f>IF(Data!M626="CD",1,0)</f>
        <v>0</v>
      </c>
      <c r="P626" s="81">
        <f>IF(Data!M626="CD",0,1)</f>
        <v>1</v>
      </c>
      <c r="Q626" s="81">
        <f>IF(Data!Q626&gt;Data!P626,DATEDIF(Data!P626,Data!Q626,"d"),0)</f>
        <v>0</v>
      </c>
      <c r="R626" s="81">
        <f>IF(Data!R626&gt;Data!Q626,DATEDIF(Data!Q626,Data!R626,"d"),0)</f>
        <v>0</v>
      </c>
    </row>
    <row r="627" spans="3:18" x14ac:dyDescent="0.2">
      <c r="C627" s="80">
        <f t="shared" ca="1" si="20"/>
        <v>45959</v>
      </c>
      <c r="D627" s="81">
        <f>IF(Data!I627&lt;&gt;"",DATEDIF(Data!I627,C627,"m"),0)</f>
        <v>0</v>
      </c>
      <c r="E627" s="82">
        <f t="shared" si="21"/>
        <v>0</v>
      </c>
      <c r="I627" s="81" t="str">
        <f>CONCATENATE(Data!M627,"-",Data!L627)</f>
        <v>-</v>
      </c>
      <c r="N627" s="81">
        <f>IF(Data!P627,DATEDIF(Data!O627,Data!P627,"d"),0)</f>
        <v>0</v>
      </c>
      <c r="O627" s="81">
        <f>IF(Data!M627="CD",1,0)</f>
        <v>0</v>
      </c>
      <c r="P627" s="81">
        <f>IF(Data!M627="CD",0,1)</f>
        <v>1</v>
      </c>
      <c r="Q627" s="81">
        <f>IF(Data!Q627&gt;Data!P627,DATEDIF(Data!P627,Data!Q627,"d"),0)</f>
        <v>0</v>
      </c>
      <c r="R627" s="81">
        <f>IF(Data!R627&gt;Data!Q627,DATEDIF(Data!Q627,Data!R627,"d"),0)</f>
        <v>0</v>
      </c>
    </row>
    <row r="628" spans="3:18" x14ac:dyDescent="0.2">
      <c r="C628" s="80">
        <f t="shared" ca="1" si="20"/>
        <v>45959</v>
      </c>
      <c r="D628" s="81">
        <f>IF(Data!I628&lt;&gt;"",DATEDIF(Data!I628,C628,"m"),0)</f>
        <v>0</v>
      </c>
      <c r="E628" s="82">
        <f t="shared" si="21"/>
        <v>0</v>
      </c>
      <c r="I628" s="81" t="str">
        <f>CONCATENATE(Data!M628,"-",Data!L628)</f>
        <v>-</v>
      </c>
      <c r="N628" s="81">
        <f>IF(Data!P628,DATEDIF(Data!O628,Data!P628,"d"),0)</f>
        <v>0</v>
      </c>
      <c r="O628" s="81">
        <f>IF(Data!M628="CD",1,0)</f>
        <v>0</v>
      </c>
      <c r="P628" s="81">
        <f>IF(Data!M628="CD",0,1)</f>
        <v>1</v>
      </c>
      <c r="Q628" s="81">
        <f>IF(Data!Q628&gt;Data!P628,DATEDIF(Data!P628,Data!Q628,"d"),0)</f>
        <v>0</v>
      </c>
      <c r="R628" s="81">
        <f>IF(Data!R628&gt;Data!Q628,DATEDIF(Data!Q628,Data!R628,"d"),0)</f>
        <v>0</v>
      </c>
    </row>
    <row r="629" spans="3:18" x14ac:dyDescent="0.2">
      <c r="C629" s="80">
        <f t="shared" ca="1" si="20"/>
        <v>45959</v>
      </c>
      <c r="D629" s="81">
        <f>IF(Data!I629&lt;&gt;"",DATEDIF(Data!I629,C629,"m"),0)</f>
        <v>0</v>
      </c>
      <c r="E629" s="82">
        <f t="shared" si="21"/>
        <v>0</v>
      </c>
      <c r="I629" s="81" t="str">
        <f>CONCATENATE(Data!M629,"-",Data!L629)</f>
        <v>-</v>
      </c>
      <c r="N629" s="81">
        <f>IF(Data!P629,DATEDIF(Data!O629,Data!P629,"d"),0)</f>
        <v>0</v>
      </c>
      <c r="O629" s="81">
        <f>IF(Data!M629="CD",1,0)</f>
        <v>0</v>
      </c>
      <c r="P629" s="81">
        <f>IF(Data!M629="CD",0,1)</f>
        <v>1</v>
      </c>
      <c r="Q629" s="81">
        <f>IF(Data!Q629&gt;Data!P629,DATEDIF(Data!P629,Data!Q629,"d"),0)</f>
        <v>0</v>
      </c>
      <c r="R629" s="81">
        <f>IF(Data!R629&gt;Data!Q629,DATEDIF(Data!Q629,Data!R629,"d"),0)</f>
        <v>0</v>
      </c>
    </row>
    <row r="630" spans="3:18" x14ac:dyDescent="0.2">
      <c r="C630" s="80">
        <f t="shared" ca="1" si="20"/>
        <v>45959</v>
      </c>
      <c r="D630" s="81">
        <f>IF(Data!I630&lt;&gt;"",DATEDIF(Data!I630,C630,"m"),0)</f>
        <v>0</v>
      </c>
      <c r="E630" s="82">
        <f t="shared" si="21"/>
        <v>0</v>
      </c>
      <c r="I630" s="81" t="str">
        <f>CONCATENATE(Data!M630,"-",Data!L630)</f>
        <v>-</v>
      </c>
      <c r="N630" s="81">
        <f>IF(Data!P630,DATEDIF(Data!O630,Data!P630,"d"),0)</f>
        <v>0</v>
      </c>
      <c r="O630" s="81">
        <f>IF(Data!M630="CD",1,0)</f>
        <v>0</v>
      </c>
      <c r="P630" s="81">
        <f>IF(Data!M630="CD",0,1)</f>
        <v>1</v>
      </c>
      <c r="Q630" s="81">
        <f>IF(Data!Q630&gt;Data!P630,DATEDIF(Data!P630,Data!Q630,"d"),0)</f>
        <v>0</v>
      </c>
      <c r="R630" s="81">
        <f>IF(Data!R630&gt;Data!Q630,DATEDIF(Data!Q630,Data!R630,"d"),0)</f>
        <v>0</v>
      </c>
    </row>
    <row r="631" spans="3:18" x14ac:dyDescent="0.2">
      <c r="C631" s="80">
        <f t="shared" ca="1" si="20"/>
        <v>45959</v>
      </c>
      <c r="D631" s="81">
        <f>IF(Data!I631&lt;&gt;"",DATEDIF(Data!I631,C631,"m"),0)</f>
        <v>0</v>
      </c>
      <c r="E631" s="82">
        <f t="shared" si="21"/>
        <v>0</v>
      </c>
      <c r="I631" s="81" t="str">
        <f>CONCATENATE(Data!M631,"-",Data!L631)</f>
        <v>-</v>
      </c>
      <c r="N631" s="81">
        <f>IF(Data!P631,DATEDIF(Data!O631,Data!P631,"d"),0)</f>
        <v>0</v>
      </c>
      <c r="O631" s="81">
        <f>IF(Data!M631="CD",1,0)</f>
        <v>0</v>
      </c>
      <c r="P631" s="81">
        <f>IF(Data!M631="CD",0,1)</f>
        <v>1</v>
      </c>
      <c r="Q631" s="81">
        <f>IF(Data!Q631&gt;Data!P631,DATEDIF(Data!P631,Data!Q631,"d"),0)</f>
        <v>0</v>
      </c>
      <c r="R631" s="81">
        <f>IF(Data!R631&gt;Data!Q631,DATEDIF(Data!Q631,Data!R631,"d"),0)</f>
        <v>0</v>
      </c>
    </row>
    <row r="632" spans="3:18" x14ac:dyDescent="0.2">
      <c r="C632" s="80">
        <f t="shared" ca="1" si="20"/>
        <v>45959</v>
      </c>
      <c r="D632" s="81">
        <f>IF(Data!I632&lt;&gt;"",DATEDIF(Data!I632,C632,"m"),0)</f>
        <v>0</v>
      </c>
      <c r="E632" s="82">
        <f t="shared" si="21"/>
        <v>0</v>
      </c>
      <c r="I632" s="81" t="str">
        <f>CONCATENATE(Data!M632,"-",Data!L632)</f>
        <v>-</v>
      </c>
      <c r="N632" s="81">
        <f>IF(Data!P632,DATEDIF(Data!O632,Data!P632,"d"),0)</f>
        <v>0</v>
      </c>
      <c r="O632" s="81">
        <f>IF(Data!M632="CD",1,0)</f>
        <v>0</v>
      </c>
      <c r="P632" s="81">
        <f>IF(Data!M632="CD",0,1)</f>
        <v>1</v>
      </c>
      <c r="Q632" s="81">
        <f>IF(Data!Q632&gt;Data!P632,DATEDIF(Data!P632,Data!Q632,"d"),0)</f>
        <v>0</v>
      </c>
      <c r="R632" s="81">
        <f>IF(Data!R632&gt;Data!Q632,DATEDIF(Data!Q632,Data!R632,"d"),0)</f>
        <v>0</v>
      </c>
    </row>
    <row r="633" spans="3:18" x14ac:dyDescent="0.2">
      <c r="C633" s="80">
        <f t="shared" ca="1" si="20"/>
        <v>45959</v>
      </c>
      <c r="D633" s="81">
        <f>IF(Data!I633&lt;&gt;"",DATEDIF(Data!I633,C633,"m"),0)</f>
        <v>0</v>
      </c>
      <c r="E633" s="82">
        <f t="shared" si="21"/>
        <v>0</v>
      </c>
      <c r="I633" s="81" t="str">
        <f>CONCATENATE(Data!M633,"-",Data!L633)</f>
        <v>-</v>
      </c>
      <c r="N633" s="81">
        <f>IF(Data!P633,DATEDIF(Data!O633,Data!P633,"d"),0)</f>
        <v>0</v>
      </c>
      <c r="O633" s="81">
        <f>IF(Data!M633="CD",1,0)</f>
        <v>0</v>
      </c>
      <c r="P633" s="81">
        <f>IF(Data!M633="CD",0,1)</f>
        <v>1</v>
      </c>
      <c r="Q633" s="81">
        <f>IF(Data!Q633&gt;Data!P633,DATEDIF(Data!P633,Data!Q633,"d"),0)</f>
        <v>0</v>
      </c>
      <c r="R633" s="81">
        <f>IF(Data!R633&gt;Data!Q633,DATEDIF(Data!Q633,Data!R633,"d"),0)</f>
        <v>0</v>
      </c>
    </row>
    <row r="634" spans="3:18" x14ac:dyDescent="0.2">
      <c r="C634" s="80">
        <f t="shared" ca="1" si="20"/>
        <v>45959</v>
      </c>
      <c r="D634" s="81">
        <f>IF(Data!I634&lt;&gt;"",DATEDIF(Data!I634,C634,"m"),0)</f>
        <v>0</v>
      </c>
      <c r="E634" s="82">
        <f t="shared" si="21"/>
        <v>0</v>
      </c>
      <c r="I634" s="81" t="str">
        <f>CONCATENATE(Data!M634,"-",Data!L634)</f>
        <v>-</v>
      </c>
      <c r="N634" s="81">
        <f>IF(Data!P634,DATEDIF(Data!O634,Data!P634,"d"),0)</f>
        <v>0</v>
      </c>
      <c r="O634" s="81">
        <f>IF(Data!M634="CD",1,0)</f>
        <v>0</v>
      </c>
      <c r="P634" s="81">
        <f>IF(Data!M634="CD",0,1)</f>
        <v>1</v>
      </c>
      <c r="Q634" s="81">
        <f>IF(Data!Q634&gt;Data!P634,DATEDIF(Data!P634,Data!Q634,"d"),0)</f>
        <v>0</v>
      </c>
      <c r="R634" s="81">
        <f>IF(Data!R634&gt;Data!Q634,DATEDIF(Data!Q634,Data!R634,"d"),0)</f>
        <v>0</v>
      </c>
    </row>
    <row r="635" spans="3:18" x14ac:dyDescent="0.2">
      <c r="C635" s="80">
        <f t="shared" ca="1" si="20"/>
        <v>45959</v>
      </c>
      <c r="D635" s="81">
        <f>IF(Data!I635&lt;&gt;"",DATEDIF(Data!I635,C635,"m"),0)</f>
        <v>0</v>
      </c>
      <c r="E635" s="82">
        <f t="shared" si="21"/>
        <v>0</v>
      </c>
      <c r="I635" s="81" t="str">
        <f>CONCATENATE(Data!M635,"-",Data!L635)</f>
        <v>-</v>
      </c>
      <c r="N635" s="81">
        <f>IF(Data!P635,DATEDIF(Data!O635,Data!P635,"d"),0)</f>
        <v>0</v>
      </c>
      <c r="O635" s="81">
        <f>IF(Data!M635="CD",1,0)</f>
        <v>0</v>
      </c>
      <c r="P635" s="81">
        <f>IF(Data!M635="CD",0,1)</f>
        <v>1</v>
      </c>
      <c r="Q635" s="81">
        <f>IF(Data!Q635&gt;Data!P635,DATEDIF(Data!P635,Data!Q635,"d"),0)</f>
        <v>0</v>
      </c>
      <c r="R635" s="81">
        <f>IF(Data!R635&gt;Data!Q635,DATEDIF(Data!Q635,Data!R635,"d"),0)</f>
        <v>0</v>
      </c>
    </row>
    <row r="636" spans="3:18" x14ac:dyDescent="0.2">
      <c r="C636" s="80">
        <f t="shared" ca="1" si="20"/>
        <v>45959</v>
      </c>
      <c r="D636" s="81">
        <f>IF(Data!I636&lt;&gt;"",DATEDIF(Data!I636,C636,"m"),0)</f>
        <v>0</v>
      </c>
      <c r="E636" s="82">
        <f t="shared" si="21"/>
        <v>0</v>
      </c>
      <c r="I636" s="81" t="str">
        <f>CONCATENATE(Data!M636,"-",Data!L636)</f>
        <v>-</v>
      </c>
      <c r="N636" s="81">
        <f>IF(Data!P636,DATEDIF(Data!O636,Data!P636,"d"),0)</f>
        <v>0</v>
      </c>
      <c r="O636" s="81">
        <f>IF(Data!M636="CD",1,0)</f>
        <v>0</v>
      </c>
      <c r="P636" s="81">
        <f>IF(Data!M636="CD",0,1)</f>
        <v>1</v>
      </c>
      <c r="Q636" s="81">
        <f>IF(Data!Q636&gt;Data!P636,DATEDIF(Data!P636,Data!Q636,"d"),0)</f>
        <v>0</v>
      </c>
      <c r="R636" s="81">
        <f>IF(Data!R636&gt;Data!Q636,DATEDIF(Data!Q636,Data!R636,"d"),0)</f>
        <v>0</v>
      </c>
    </row>
    <row r="637" spans="3:18" x14ac:dyDescent="0.2">
      <c r="C637" s="80">
        <f t="shared" ca="1" si="20"/>
        <v>45959</v>
      </c>
      <c r="D637" s="81">
        <f>IF(Data!I637&lt;&gt;"",DATEDIF(Data!I637,C637,"m"),0)</f>
        <v>0</v>
      </c>
      <c r="E637" s="82">
        <f t="shared" si="21"/>
        <v>0</v>
      </c>
      <c r="I637" s="81" t="str">
        <f>CONCATENATE(Data!M637,"-",Data!L637)</f>
        <v>-</v>
      </c>
      <c r="N637" s="81">
        <f>IF(Data!P637,DATEDIF(Data!O637,Data!P637,"d"),0)</f>
        <v>0</v>
      </c>
      <c r="O637" s="81">
        <f>IF(Data!M637="CD",1,0)</f>
        <v>0</v>
      </c>
      <c r="P637" s="81">
        <f>IF(Data!M637="CD",0,1)</f>
        <v>1</v>
      </c>
      <c r="Q637" s="81">
        <f>IF(Data!Q637&gt;Data!P637,DATEDIF(Data!P637,Data!Q637,"d"),0)</f>
        <v>0</v>
      </c>
      <c r="R637" s="81">
        <f>IF(Data!R637&gt;Data!Q637,DATEDIF(Data!Q637,Data!R637,"d"),0)</f>
        <v>0</v>
      </c>
    </row>
    <row r="638" spans="3:18" x14ac:dyDescent="0.2">
      <c r="C638" s="80">
        <f t="shared" ca="1" si="20"/>
        <v>45959</v>
      </c>
      <c r="D638" s="81">
        <f>IF(Data!I638&lt;&gt;"",DATEDIF(Data!I638,C638,"m"),0)</f>
        <v>0</v>
      </c>
      <c r="E638" s="82">
        <f t="shared" si="21"/>
        <v>0</v>
      </c>
      <c r="I638" s="81" t="str">
        <f>CONCATENATE(Data!M638,"-",Data!L638)</f>
        <v>-</v>
      </c>
      <c r="N638" s="81">
        <f>IF(Data!P638,DATEDIF(Data!O638,Data!P638,"d"),0)</f>
        <v>0</v>
      </c>
      <c r="O638" s="81">
        <f>IF(Data!M638="CD",1,0)</f>
        <v>0</v>
      </c>
      <c r="P638" s="81">
        <f>IF(Data!M638="CD",0,1)</f>
        <v>1</v>
      </c>
      <c r="Q638" s="81">
        <f>IF(Data!Q638&gt;Data!P638,DATEDIF(Data!P638,Data!Q638,"d"),0)</f>
        <v>0</v>
      </c>
      <c r="R638" s="81">
        <f>IF(Data!R638&gt;Data!Q638,DATEDIF(Data!Q638,Data!R638,"d"),0)</f>
        <v>0</v>
      </c>
    </row>
    <row r="639" spans="3:18" x14ac:dyDescent="0.2">
      <c r="C639" s="80">
        <f t="shared" ca="1" si="20"/>
        <v>45959</v>
      </c>
      <c r="D639" s="81">
        <f>IF(Data!I639&lt;&gt;"",DATEDIF(Data!I639,C639,"m"),0)</f>
        <v>0</v>
      </c>
      <c r="E639" s="82">
        <f t="shared" si="21"/>
        <v>0</v>
      </c>
      <c r="I639" s="81" t="str">
        <f>CONCATENATE(Data!M639,"-",Data!L639)</f>
        <v>-</v>
      </c>
      <c r="N639" s="81">
        <f>IF(Data!P639,DATEDIF(Data!O639,Data!P639,"d"),0)</f>
        <v>0</v>
      </c>
      <c r="O639" s="81">
        <f>IF(Data!M639="CD",1,0)</f>
        <v>0</v>
      </c>
      <c r="P639" s="81">
        <f>IF(Data!M639="CD",0,1)</f>
        <v>1</v>
      </c>
      <c r="Q639" s="81">
        <f>IF(Data!Q639&gt;Data!P639,DATEDIF(Data!P639,Data!Q639,"d"),0)</f>
        <v>0</v>
      </c>
      <c r="R639" s="81">
        <f>IF(Data!R639&gt;Data!Q639,DATEDIF(Data!Q639,Data!R639,"d"),0)</f>
        <v>0</v>
      </c>
    </row>
    <row r="640" spans="3:18" x14ac:dyDescent="0.2">
      <c r="C640" s="80">
        <f t="shared" ca="1" si="20"/>
        <v>45959</v>
      </c>
      <c r="D640" s="81">
        <f>IF(Data!I640&lt;&gt;"",DATEDIF(Data!I640,C640,"m"),0)</f>
        <v>0</v>
      </c>
      <c r="E640" s="82">
        <f t="shared" si="21"/>
        <v>0</v>
      </c>
      <c r="I640" s="81" t="str">
        <f>CONCATENATE(Data!M640,"-",Data!L640)</f>
        <v>-</v>
      </c>
      <c r="N640" s="81">
        <f>IF(Data!P640,DATEDIF(Data!O640,Data!P640,"d"),0)</f>
        <v>0</v>
      </c>
      <c r="O640" s="81">
        <f>IF(Data!M640="CD",1,0)</f>
        <v>0</v>
      </c>
      <c r="P640" s="81">
        <f>IF(Data!M640="CD",0,1)</f>
        <v>1</v>
      </c>
      <c r="Q640" s="81">
        <f>IF(Data!Q640&gt;Data!P640,DATEDIF(Data!P640,Data!Q640,"d"),0)</f>
        <v>0</v>
      </c>
      <c r="R640" s="81">
        <f>IF(Data!R640&gt;Data!Q640,DATEDIF(Data!Q640,Data!R640,"d"),0)</f>
        <v>0</v>
      </c>
    </row>
    <row r="641" spans="3:18" x14ac:dyDescent="0.2">
      <c r="C641" s="80">
        <f t="shared" ca="1" si="20"/>
        <v>45959</v>
      </c>
      <c r="D641" s="81">
        <f>IF(Data!I641&lt;&gt;"",DATEDIF(Data!I641,C641,"m"),0)</f>
        <v>0</v>
      </c>
      <c r="E641" s="82">
        <f t="shared" si="21"/>
        <v>0</v>
      </c>
      <c r="I641" s="81" t="str">
        <f>CONCATENATE(Data!M641,"-",Data!L641)</f>
        <v>-</v>
      </c>
      <c r="N641" s="81">
        <f>IF(Data!P641,DATEDIF(Data!O641,Data!P641,"d"),0)</f>
        <v>0</v>
      </c>
      <c r="O641" s="81">
        <f>IF(Data!M641="CD",1,0)</f>
        <v>0</v>
      </c>
      <c r="P641" s="81">
        <f>IF(Data!M641="CD",0,1)</f>
        <v>1</v>
      </c>
      <c r="Q641" s="81">
        <f>IF(Data!Q641&gt;Data!P641,DATEDIF(Data!P641,Data!Q641,"d"),0)</f>
        <v>0</v>
      </c>
      <c r="R641" s="81">
        <f>IF(Data!R641&gt;Data!Q641,DATEDIF(Data!Q641,Data!R641,"d"),0)</f>
        <v>0</v>
      </c>
    </row>
    <row r="642" spans="3:18" x14ac:dyDescent="0.2">
      <c r="C642" s="80">
        <f t="shared" ref="C642:C705" ca="1" si="22">TODAY()</f>
        <v>45959</v>
      </c>
      <c r="D642" s="81">
        <f>IF(Data!I642&lt;&gt;"",DATEDIF(Data!I642,C642,"m"),0)</f>
        <v>0</v>
      </c>
      <c r="E642" s="82">
        <f t="shared" si="21"/>
        <v>0</v>
      </c>
      <c r="I642" s="81" t="str">
        <f>CONCATENATE(Data!M642,"-",Data!L642)</f>
        <v>-</v>
      </c>
      <c r="N642" s="81">
        <f>IF(Data!P642,DATEDIF(Data!O642,Data!P642,"d"),0)</f>
        <v>0</v>
      </c>
      <c r="O642" s="81">
        <f>IF(Data!M642="CD",1,0)</f>
        <v>0</v>
      </c>
      <c r="P642" s="81">
        <f>IF(Data!M642="CD",0,1)</f>
        <v>1</v>
      </c>
      <c r="Q642" s="81">
        <f>IF(Data!Q642&gt;Data!P642,DATEDIF(Data!P642,Data!Q642,"d"),0)</f>
        <v>0</v>
      </c>
      <c r="R642" s="81">
        <f>IF(Data!R642&gt;Data!Q642,DATEDIF(Data!Q642,Data!R642,"d"),0)</f>
        <v>0</v>
      </c>
    </row>
    <row r="643" spans="3:18" x14ac:dyDescent="0.2">
      <c r="C643" s="80">
        <f t="shared" ca="1" si="22"/>
        <v>45959</v>
      </c>
      <c r="D643" s="81">
        <f>IF(Data!I643&lt;&gt;"",DATEDIF(Data!I643,C643,"m"),0)</f>
        <v>0</v>
      </c>
      <c r="E643" s="82">
        <f t="shared" ref="E643:E706" si="23">D643/12</f>
        <v>0</v>
      </c>
      <c r="I643" s="81" t="str">
        <f>CONCATENATE(Data!M643,"-",Data!L643)</f>
        <v>-</v>
      </c>
      <c r="N643" s="81">
        <f>IF(Data!P643,DATEDIF(Data!O643,Data!P643,"d"),0)</f>
        <v>0</v>
      </c>
      <c r="O643" s="81">
        <f>IF(Data!M643="CD",1,0)</f>
        <v>0</v>
      </c>
      <c r="P643" s="81">
        <f>IF(Data!M643="CD",0,1)</f>
        <v>1</v>
      </c>
      <c r="Q643" s="81">
        <f>IF(Data!Q643&gt;Data!P643,DATEDIF(Data!P643,Data!Q643,"d"),0)</f>
        <v>0</v>
      </c>
      <c r="R643" s="81">
        <f>IF(Data!R643&gt;Data!Q643,DATEDIF(Data!Q643,Data!R643,"d"),0)</f>
        <v>0</v>
      </c>
    </row>
    <row r="644" spans="3:18" x14ac:dyDescent="0.2">
      <c r="C644" s="80">
        <f t="shared" ca="1" si="22"/>
        <v>45959</v>
      </c>
      <c r="D644" s="81">
        <f>IF(Data!I644&lt;&gt;"",DATEDIF(Data!I644,C644,"m"),0)</f>
        <v>0</v>
      </c>
      <c r="E644" s="82">
        <f t="shared" si="23"/>
        <v>0</v>
      </c>
      <c r="I644" s="81" t="str">
        <f>CONCATENATE(Data!M644,"-",Data!L644)</f>
        <v>-</v>
      </c>
      <c r="N644" s="81">
        <f>IF(Data!P644,DATEDIF(Data!O644,Data!P644,"d"),0)</f>
        <v>0</v>
      </c>
      <c r="O644" s="81">
        <f>IF(Data!M644="CD",1,0)</f>
        <v>0</v>
      </c>
      <c r="P644" s="81">
        <f>IF(Data!M644="CD",0,1)</f>
        <v>1</v>
      </c>
      <c r="Q644" s="81">
        <f>IF(Data!Q644&gt;Data!P644,DATEDIF(Data!P644,Data!Q644,"d"),0)</f>
        <v>0</v>
      </c>
      <c r="R644" s="81">
        <f>IF(Data!R644&gt;Data!Q644,DATEDIF(Data!Q644,Data!R644,"d"),0)</f>
        <v>0</v>
      </c>
    </row>
    <row r="645" spans="3:18" x14ac:dyDescent="0.2">
      <c r="C645" s="80">
        <f t="shared" ca="1" si="22"/>
        <v>45959</v>
      </c>
      <c r="D645" s="81">
        <f>IF(Data!I645&lt;&gt;"",DATEDIF(Data!I645,C645,"m"),0)</f>
        <v>0</v>
      </c>
      <c r="E645" s="82">
        <f t="shared" si="23"/>
        <v>0</v>
      </c>
      <c r="I645" s="81" t="str">
        <f>CONCATENATE(Data!M645,"-",Data!L645)</f>
        <v>-</v>
      </c>
      <c r="N645" s="81">
        <f>IF(Data!P645,DATEDIF(Data!O645,Data!P645,"d"),0)</f>
        <v>0</v>
      </c>
      <c r="O645" s="81">
        <f>IF(Data!M645="CD",1,0)</f>
        <v>0</v>
      </c>
      <c r="P645" s="81">
        <f>IF(Data!M645="CD",0,1)</f>
        <v>1</v>
      </c>
      <c r="Q645" s="81">
        <f>IF(Data!Q645&gt;Data!P645,DATEDIF(Data!P645,Data!Q645,"d"),0)</f>
        <v>0</v>
      </c>
      <c r="R645" s="81">
        <f>IF(Data!R645&gt;Data!Q645,DATEDIF(Data!Q645,Data!R645,"d"),0)</f>
        <v>0</v>
      </c>
    </row>
    <row r="646" spans="3:18" x14ac:dyDescent="0.2">
      <c r="C646" s="80">
        <f t="shared" ca="1" si="22"/>
        <v>45959</v>
      </c>
      <c r="D646" s="81">
        <f>IF(Data!I646&lt;&gt;"",DATEDIF(Data!I646,C646,"m"),0)</f>
        <v>0</v>
      </c>
      <c r="E646" s="82">
        <f t="shared" si="23"/>
        <v>0</v>
      </c>
      <c r="I646" s="81" t="str">
        <f>CONCATENATE(Data!M646,"-",Data!L646)</f>
        <v>-</v>
      </c>
      <c r="N646" s="81">
        <f>IF(Data!P646,DATEDIF(Data!O646,Data!P646,"d"),0)</f>
        <v>0</v>
      </c>
      <c r="O646" s="81">
        <f>IF(Data!M646="CD",1,0)</f>
        <v>0</v>
      </c>
      <c r="P646" s="81">
        <f>IF(Data!M646="CD",0,1)</f>
        <v>1</v>
      </c>
      <c r="Q646" s="81">
        <f>IF(Data!Q646&gt;Data!P646,DATEDIF(Data!P646,Data!Q646,"d"),0)</f>
        <v>0</v>
      </c>
      <c r="R646" s="81">
        <f>IF(Data!R646&gt;Data!Q646,DATEDIF(Data!Q646,Data!R646,"d"),0)</f>
        <v>0</v>
      </c>
    </row>
    <row r="647" spans="3:18" x14ac:dyDescent="0.2">
      <c r="C647" s="80">
        <f t="shared" ca="1" si="22"/>
        <v>45959</v>
      </c>
      <c r="D647" s="81">
        <f>IF(Data!I647&lt;&gt;"",DATEDIF(Data!I647,C647,"m"),0)</f>
        <v>0</v>
      </c>
      <c r="E647" s="82">
        <f t="shared" si="23"/>
        <v>0</v>
      </c>
      <c r="I647" s="81" t="str">
        <f>CONCATENATE(Data!M647,"-",Data!L647)</f>
        <v>-</v>
      </c>
      <c r="N647" s="81">
        <f>IF(Data!P647,DATEDIF(Data!O647,Data!P647,"d"),0)</f>
        <v>0</v>
      </c>
      <c r="O647" s="81">
        <f>IF(Data!M647="CD",1,0)</f>
        <v>0</v>
      </c>
      <c r="P647" s="81">
        <f>IF(Data!M647="CD",0,1)</f>
        <v>1</v>
      </c>
      <c r="Q647" s="81">
        <f>IF(Data!Q647&gt;Data!P647,DATEDIF(Data!P647,Data!Q647,"d"),0)</f>
        <v>0</v>
      </c>
      <c r="R647" s="81">
        <f>IF(Data!R647&gt;Data!Q647,DATEDIF(Data!Q647,Data!R647,"d"),0)</f>
        <v>0</v>
      </c>
    </row>
    <row r="648" spans="3:18" x14ac:dyDescent="0.2">
      <c r="C648" s="80">
        <f t="shared" ca="1" si="22"/>
        <v>45959</v>
      </c>
      <c r="D648" s="81">
        <f>IF(Data!I648&lt;&gt;"",DATEDIF(Data!I648,C648,"m"),0)</f>
        <v>0</v>
      </c>
      <c r="E648" s="82">
        <f t="shared" si="23"/>
        <v>0</v>
      </c>
      <c r="I648" s="81" t="str">
        <f>CONCATENATE(Data!M648,"-",Data!L648)</f>
        <v>-</v>
      </c>
      <c r="N648" s="81">
        <f>IF(Data!P648,DATEDIF(Data!O648,Data!P648,"d"),0)</f>
        <v>0</v>
      </c>
      <c r="O648" s="81">
        <f>IF(Data!M648="CD",1,0)</f>
        <v>0</v>
      </c>
      <c r="P648" s="81">
        <f>IF(Data!M648="CD",0,1)</f>
        <v>1</v>
      </c>
      <c r="Q648" s="81">
        <f>IF(Data!Q648&gt;Data!P648,DATEDIF(Data!P648,Data!Q648,"d"),0)</f>
        <v>0</v>
      </c>
      <c r="R648" s="81">
        <f>IF(Data!R648&gt;Data!Q648,DATEDIF(Data!Q648,Data!R648,"d"),0)</f>
        <v>0</v>
      </c>
    </row>
    <row r="649" spans="3:18" x14ac:dyDescent="0.2">
      <c r="C649" s="80">
        <f t="shared" ca="1" si="22"/>
        <v>45959</v>
      </c>
      <c r="D649" s="81">
        <f>IF(Data!I649&lt;&gt;"",DATEDIF(Data!I649,C649,"m"),0)</f>
        <v>0</v>
      </c>
      <c r="E649" s="82">
        <f t="shared" si="23"/>
        <v>0</v>
      </c>
      <c r="I649" s="81" t="str">
        <f>CONCATENATE(Data!M649,"-",Data!L649)</f>
        <v>-</v>
      </c>
      <c r="N649" s="81">
        <f>IF(Data!P649,DATEDIF(Data!O649,Data!P649,"d"),0)</f>
        <v>0</v>
      </c>
      <c r="O649" s="81">
        <f>IF(Data!M649="CD",1,0)</f>
        <v>0</v>
      </c>
      <c r="P649" s="81">
        <f>IF(Data!M649="CD",0,1)</f>
        <v>1</v>
      </c>
      <c r="Q649" s="81">
        <f>IF(Data!Q649&gt;Data!P649,DATEDIF(Data!P649,Data!Q649,"d"),0)</f>
        <v>0</v>
      </c>
      <c r="R649" s="81">
        <f>IF(Data!R649&gt;Data!Q649,DATEDIF(Data!Q649,Data!R649,"d"),0)</f>
        <v>0</v>
      </c>
    </row>
    <row r="650" spans="3:18" x14ac:dyDescent="0.2">
      <c r="C650" s="80">
        <f t="shared" ca="1" si="22"/>
        <v>45959</v>
      </c>
      <c r="D650" s="81">
        <f>IF(Data!I650&lt;&gt;"",DATEDIF(Data!I650,C650,"m"),0)</f>
        <v>0</v>
      </c>
      <c r="E650" s="82">
        <f t="shared" si="23"/>
        <v>0</v>
      </c>
      <c r="I650" s="81" t="str">
        <f>CONCATENATE(Data!M650,"-",Data!L650)</f>
        <v>-</v>
      </c>
      <c r="N650" s="81">
        <f>IF(Data!P650,DATEDIF(Data!O650,Data!P650,"d"),0)</f>
        <v>0</v>
      </c>
      <c r="O650" s="81">
        <f>IF(Data!M650="CD",1,0)</f>
        <v>0</v>
      </c>
      <c r="P650" s="81">
        <f>IF(Data!M650="CD",0,1)</f>
        <v>1</v>
      </c>
      <c r="Q650" s="81">
        <f>IF(Data!Q650&gt;Data!P650,DATEDIF(Data!P650,Data!Q650,"d"),0)</f>
        <v>0</v>
      </c>
      <c r="R650" s="81">
        <f>IF(Data!R650&gt;Data!Q650,DATEDIF(Data!Q650,Data!R650,"d"),0)</f>
        <v>0</v>
      </c>
    </row>
    <row r="651" spans="3:18" x14ac:dyDescent="0.2">
      <c r="C651" s="80">
        <f t="shared" ca="1" si="22"/>
        <v>45959</v>
      </c>
      <c r="D651" s="81">
        <f>IF(Data!I651&lt;&gt;"",DATEDIF(Data!I651,C651,"m"),0)</f>
        <v>0</v>
      </c>
      <c r="E651" s="82">
        <f t="shared" si="23"/>
        <v>0</v>
      </c>
      <c r="I651" s="81" t="str">
        <f>CONCATENATE(Data!M651,"-",Data!L651)</f>
        <v>-</v>
      </c>
      <c r="N651" s="81">
        <f>IF(Data!P651,DATEDIF(Data!O651,Data!P651,"d"),0)</f>
        <v>0</v>
      </c>
      <c r="O651" s="81">
        <f>IF(Data!M651="CD",1,0)</f>
        <v>0</v>
      </c>
      <c r="P651" s="81">
        <f>IF(Data!M651="CD",0,1)</f>
        <v>1</v>
      </c>
      <c r="Q651" s="81">
        <f>IF(Data!Q651&gt;Data!P651,DATEDIF(Data!P651,Data!Q651,"d"),0)</f>
        <v>0</v>
      </c>
      <c r="R651" s="81">
        <f>IF(Data!R651&gt;Data!Q651,DATEDIF(Data!Q651,Data!R651,"d"),0)</f>
        <v>0</v>
      </c>
    </row>
    <row r="652" spans="3:18" x14ac:dyDescent="0.2">
      <c r="C652" s="80">
        <f t="shared" ca="1" si="22"/>
        <v>45959</v>
      </c>
      <c r="D652" s="81">
        <f>IF(Data!I652&lt;&gt;"",DATEDIF(Data!I652,C652,"m"),0)</f>
        <v>0</v>
      </c>
      <c r="E652" s="82">
        <f t="shared" si="23"/>
        <v>0</v>
      </c>
      <c r="I652" s="81" t="str">
        <f>CONCATENATE(Data!M652,"-",Data!L652)</f>
        <v>-</v>
      </c>
      <c r="N652" s="81">
        <f>IF(Data!P652,DATEDIF(Data!O652,Data!P652,"d"),0)</f>
        <v>0</v>
      </c>
      <c r="O652" s="81">
        <f>IF(Data!M652="CD",1,0)</f>
        <v>0</v>
      </c>
      <c r="P652" s="81">
        <f>IF(Data!M652="CD",0,1)</f>
        <v>1</v>
      </c>
      <c r="Q652" s="81">
        <f>IF(Data!Q652&gt;Data!P652,DATEDIF(Data!P652,Data!Q652,"d"),0)</f>
        <v>0</v>
      </c>
      <c r="R652" s="81">
        <f>IF(Data!R652&gt;Data!Q652,DATEDIF(Data!Q652,Data!R652,"d"),0)</f>
        <v>0</v>
      </c>
    </row>
    <row r="653" spans="3:18" x14ac:dyDescent="0.2">
      <c r="C653" s="80">
        <f t="shared" ca="1" si="22"/>
        <v>45959</v>
      </c>
      <c r="D653" s="81">
        <f>IF(Data!I653&lt;&gt;"",DATEDIF(Data!I653,C653,"m"),0)</f>
        <v>0</v>
      </c>
      <c r="E653" s="82">
        <f t="shared" si="23"/>
        <v>0</v>
      </c>
      <c r="I653" s="81" t="str">
        <f>CONCATENATE(Data!M653,"-",Data!L653)</f>
        <v>-</v>
      </c>
      <c r="N653" s="81">
        <f>IF(Data!P653,DATEDIF(Data!O653,Data!P653,"d"),0)</f>
        <v>0</v>
      </c>
      <c r="O653" s="81">
        <f>IF(Data!M653="CD",1,0)</f>
        <v>0</v>
      </c>
      <c r="P653" s="81">
        <f>IF(Data!M653="CD",0,1)</f>
        <v>1</v>
      </c>
      <c r="Q653" s="81">
        <f>IF(Data!Q653&gt;Data!P653,DATEDIF(Data!P653,Data!Q653,"d"),0)</f>
        <v>0</v>
      </c>
      <c r="R653" s="81">
        <f>IF(Data!R653&gt;Data!Q653,DATEDIF(Data!Q653,Data!R653,"d"),0)</f>
        <v>0</v>
      </c>
    </row>
    <row r="654" spans="3:18" x14ac:dyDescent="0.2">
      <c r="C654" s="80">
        <f t="shared" ca="1" si="22"/>
        <v>45959</v>
      </c>
      <c r="D654" s="81">
        <f>IF(Data!I654&lt;&gt;"",DATEDIF(Data!I654,C654,"m"),0)</f>
        <v>0</v>
      </c>
      <c r="E654" s="82">
        <f t="shared" si="23"/>
        <v>0</v>
      </c>
      <c r="I654" s="81" t="str">
        <f>CONCATENATE(Data!M654,"-",Data!L654)</f>
        <v>-</v>
      </c>
      <c r="N654" s="81">
        <f>IF(Data!P654,DATEDIF(Data!O654,Data!P654,"d"),0)</f>
        <v>0</v>
      </c>
      <c r="O654" s="81">
        <f>IF(Data!M654="CD",1,0)</f>
        <v>0</v>
      </c>
      <c r="P654" s="81">
        <f>IF(Data!M654="CD",0,1)</f>
        <v>1</v>
      </c>
      <c r="Q654" s="81">
        <f>IF(Data!Q654&gt;Data!P654,DATEDIF(Data!P654,Data!Q654,"d"),0)</f>
        <v>0</v>
      </c>
      <c r="R654" s="81">
        <f>IF(Data!R654&gt;Data!Q654,DATEDIF(Data!Q654,Data!R654,"d"),0)</f>
        <v>0</v>
      </c>
    </row>
    <row r="655" spans="3:18" x14ac:dyDescent="0.2">
      <c r="C655" s="80">
        <f t="shared" ca="1" si="22"/>
        <v>45959</v>
      </c>
      <c r="D655" s="81">
        <f>IF(Data!I655&lt;&gt;"",DATEDIF(Data!I655,C655,"m"),0)</f>
        <v>0</v>
      </c>
      <c r="E655" s="82">
        <f t="shared" si="23"/>
        <v>0</v>
      </c>
      <c r="I655" s="81" t="str">
        <f>CONCATENATE(Data!M655,"-",Data!L655)</f>
        <v>-</v>
      </c>
      <c r="N655" s="81">
        <f>IF(Data!P655,DATEDIF(Data!O655,Data!P655,"d"),0)</f>
        <v>0</v>
      </c>
      <c r="O655" s="81">
        <f>IF(Data!M655="CD",1,0)</f>
        <v>0</v>
      </c>
      <c r="P655" s="81">
        <f>IF(Data!M655="CD",0,1)</f>
        <v>1</v>
      </c>
      <c r="Q655" s="81">
        <f>IF(Data!Q655&gt;Data!P655,DATEDIF(Data!P655,Data!Q655,"d"),0)</f>
        <v>0</v>
      </c>
      <c r="R655" s="81">
        <f>IF(Data!R655&gt;Data!Q655,DATEDIF(Data!Q655,Data!R655,"d"),0)</f>
        <v>0</v>
      </c>
    </row>
    <row r="656" spans="3:18" x14ac:dyDescent="0.2">
      <c r="C656" s="80">
        <f t="shared" ca="1" si="22"/>
        <v>45959</v>
      </c>
      <c r="D656" s="81">
        <f>IF(Data!I656&lt;&gt;"",DATEDIF(Data!I656,C656,"m"),0)</f>
        <v>0</v>
      </c>
      <c r="E656" s="82">
        <f t="shared" si="23"/>
        <v>0</v>
      </c>
      <c r="I656" s="81" t="str">
        <f>CONCATENATE(Data!M656,"-",Data!L656)</f>
        <v>-</v>
      </c>
      <c r="N656" s="81">
        <f>IF(Data!P656,DATEDIF(Data!O656,Data!P656,"d"),0)</f>
        <v>0</v>
      </c>
      <c r="O656" s="81">
        <f>IF(Data!M656="CD",1,0)</f>
        <v>0</v>
      </c>
      <c r="P656" s="81">
        <f>IF(Data!M656="CD",0,1)</f>
        <v>1</v>
      </c>
      <c r="Q656" s="81">
        <f>IF(Data!Q656&gt;Data!P656,DATEDIF(Data!P656,Data!Q656,"d"),0)</f>
        <v>0</v>
      </c>
      <c r="R656" s="81">
        <f>IF(Data!R656&gt;Data!Q656,DATEDIF(Data!Q656,Data!R656,"d"),0)</f>
        <v>0</v>
      </c>
    </row>
    <row r="657" spans="3:18" x14ac:dyDescent="0.2">
      <c r="C657" s="80">
        <f t="shared" ca="1" si="22"/>
        <v>45959</v>
      </c>
      <c r="D657" s="81">
        <f>IF(Data!I657&lt;&gt;"",DATEDIF(Data!I657,C657,"m"),0)</f>
        <v>0</v>
      </c>
      <c r="E657" s="82">
        <f t="shared" si="23"/>
        <v>0</v>
      </c>
      <c r="I657" s="81" t="str">
        <f>CONCATENATE(Data!M657,"-",Data!L657)</f>
        <v>-</v>
      </c>
      <c r="N657" s="81">
        <f>IF(Data!P657,DATEDIF(Data!O657,Data!P657,"d"),0)</f>
        <v>0</v>
      </c>
      <c r="O657" s="81">
        <f>IF(Data!M657="CD",1,0)</f>
        <v>0</v>
      </c>
      <c r="P657" s="81">
        <f>IF(Data!M657="CD",0,1)</f>
        <v>1</v>
      </c>
      <c r="Q657" s="81">
        <f>IF(Data!Q657&gt;Data!P657,DATEDIF(Data!P657,Data!Q657,"d"),0)</f>
        <v>0</v>
      </c>
      <c r="R657" s="81">
        <f>IF(Data!R657&gt;Data!Q657,DATEDIF(Data!Q657,Data!R657,"d"),0)</f>
        <v>0</v>
      </c>
    </row>
    <row r="658" spans="3:18" x14ac:dyDescent="0.2">
      <c r="C658" s="80">
        <f t="shared" ca="1" si="22"/>
        <v>45959</v>
      </c>
      <c r="D658" s="81">
        <f>IF(Data!I658&lt;&gt;"",DATEDIF(Data!I658,C658,"m"),0)</f>
        <v>0</v>
      </c>
      <c r="E658" s="82">
        <f t="shared" si="23"/>
        <v>0</v>
      </c>
      <c r="I658" s="81" t="str">
        <f>CONCATENATE(Data!M658,"-",Data!L658)</f>
        <v>-</v>
      </c>
      <c r="N658" s="81">
        <f>IF(Data!P658,DATEDIF(Data!O658,Data!P658,"d"),0)</f>
        <v>0</v>
      </c>
      <c r="O658" s="81">
        <f>IF(Data!M658="CD",1,0)</f>
        <v>0</v>
      </c>
      <c r="P658" s="81">
        <f>IF(Data!M658="CD",0,1)</f>
        <v>1</v>
      </c>
      <c r="Q658" s="81">
        <f>IF(Data!Q658&gt;Data!P658,DATEDIF(Data!P658,Data!Q658,"d"),0)</f>
        <v>0</v>
      </c>
      <c r="R658" s="81">
        <f>IF(Data!R658&gt;Data!Q658,DATEDIF(Data!Q658,Data!R658,"d"),0)</f>
        <v>0</v>
      </c>
    </row>
    <row r="659" spans="3:18" x14ac:dyDescent="0.2">
      <c r="C659" s="80">
        <f t="shared" ca="1" si="22"/>
        <v>45959</v>
      </c>
      <c r="D659" s="81">
        <f>IF(Data!I659&lt;&gt;"",DATEDIF(Data!I659,C659,"m"),0)</f>
        <v>0</v>
      </c>
      <c r="E659" s="82">
        <f t="shared" si="23"/>
        <v>0</v>
      </c>
      <c r="I659" s="81" t="str">
        <f>CONCATENATE(Data!M659,"-",Data!L659)</f>
        <v>-</v>
      </c>
      <c r="N659" s="81">
        <f>IF(Data!P659,DATEDIF(Data!O659,Data!P659,"d"),0)</f>
        <v>0</v>
      </c>
      <c r="O659" s="81">
        <f>IF(Data!M659="CD",1,0)</f>
        <v>0</v>
      </c>
      <c r="P659" s="81">
        <f>IF(Data!M659="CD",0,1)</f>
        <v>1</v>
      </c>
      <c r="Q659" s="81">
        <f>IF(Data!Q659&gt;Data!P659,DATEDIF(Data!P659,Data!Q659,"d"),0)</f>
        <v>0</v>
      </c>
      <c r="R659" s="81">
        <f>IF(Data!R659&gt;Data!Q659,DATEDIF(Data!Q659,Data!R659,"d"),0)</f>
        <v>0</v>
      </c>
    </row>
    <row r="660" spans="3:18" x14ac:dyDescent="0.2">
      <c r="C660" s="80">
        <f t="shared" ca="1" si="22"/>
        <v>45959</v>
      </c>
      <c r="D660" s="81">
        <f>IF(Data!I660&lt;&gt;"",DATEDIF(Data!I660,C660,"m"),0)</f>
        <v>0</v>
      </c>
      <c r="E660" s="82">
        <f t="shared" si="23"/>
        <v>0</v>
      </c>
      <c r="I660" s="81" t="str">
        <f>CONCATENATE(Data!M660,"-",Data!L660)</f>
        <v>-</v>
      </c>
      <c r="N660" s="81">
        <f>IF(Data!P660,DATEDIF(Data!O660,Data!P660,"d"),0)</f>
        <v>0</v>
      </c>
      <c r="O660" s="81">
        <f>IF(Data!M660="CD",1,0)</f>
        <v>0</v>
      </c>
      <c r="P660" s="81">
        <f>IF(Data!M660="CD",0,1)</f>
        <v>1</v>
      </c>
      <c r="Q660" s="81">
        <f>IF(Data!Q660&gt;Data!P660,DATEDIF(Data!P660,Data!Q660,"d"),0)</f>
        <v>0</v>
      </c>
      <c r="R660" s="81">
        <f>IF(Data!R660&gt;Data!Q660,DATEDIF(Data!Q660,Data!R660,"d"),0)</f>
        <v>0</v>
      </c>
    </row>
    <row r="661" spans="3:18" x14ac:dyDescent="0.2">
      <c r="C661" s="80">
        <f t="shared" ca="1" si="22"/>
        <v>45959</v>
      </c>
      <c r="D661" s="81">
        <f>IF(Data!I661&lt;&gt;"",DATEDIF(Data!I661,C661,"m"),0)</f>
        <v>0</v>
      </c>
      <c r="E661" s="82">
        <f t="shared" si="23"/>
        <v>0</v>
      </c>
      <c r="I661" s="81" t="str">
        <f>CONCATENATE(Data!M661,"-",Data!L661)</f>
        <v>-</v>
      </c>
      <c r="N661" s="81">
        <f>IF(Data!P661,DATEDIF(Data!O661,Data!P661,"d"),0)</f>
        <v>0</v>
      </c>
      <c r="O661" s="81">
        <f>IF(Data!M661="CD",1,0)</f>
        <v>0</v>
      </c>
      <c r="P661" s="81">
        <f>IF(Data!M661="CD",0,1)</f>
        <v>1</v>
      </c>
      <c r="Q661" s="81">
        <f>IF(Data!Q661&gt;Data!P661,DATEDIF(Data!P661,Data!Q661,"d"),0)</f>
        <v>0</v>
      </c>
      <c r="R661" s="81">
        <f>IF(Data!R661&gt;Data!Q661,DATEDIF(Data!Q661,Data!R661,"d"),0)</f>
        <v>0</v>
      </c>
    </row>
    <row r="662" spans="3:18" x14ac:dyDescent="0.2">
      <c r="C662" s="80">
        <f t="shared" ca="1" si="22"/>
        <v>45959</v>
      </c>
      <c r="D662" s="81">
        <f>IF(Data!I662&lt;&gt;"",DATEDIF(Data!I662,C662,"m"),0)</f>
        <v>0</v>
      </c>
      <c r="E662" s="82">
        <f t="shared" si="23"/>
        <v>0</v>
      </c>
      <c r="I662" s="81" t="str">
        <f>CONCATENATE(Data!M662,"-",Data!L662)</f>
        <v>-</v>
      </c>
      <c r="N662" s="81">
        <f>IF(Data!P662,DATEDIF(Data!O662,Data!P662,"d"),0)</f>
        <v>0</v>
      </c>
      <c r="O662" s="81">
        <f>IF(Data!M662="CD",1,0)</f>
        <v>0</v>
      </c>
      <c r="P662" s="81">
        <f>IF(Data!M662="CD",0,1)</f>
        <v>1</v>
      </c>
      <c r="Q662" s="81">
        <f>IF(Data!Q662&gt;Data!P662,DATEDIF(Data!P662,Data!Q662,"d"),0)</f>
        <v>0</v>
      </c>
      <c r="R662" s="81">
        <f>IF(Data!R662&gt;Data!Q662,DATEDIF(Data!Q662,Data!R662,"d"),0)</f>
        <v>0</v>
      </c>
    </row>
    <row r="663" spans="3:18" x14ac:dyDescent="0.2">
      <c r="C663" s="80">
        <f t="shared" ca="1" si="22"/>
        <v>45959</v>
      </c>
      <c r="D663" s="81">
        <f>IF(Data!I663&lt;&gt;"",DATEDIF(Data!I663,C663,"m"),0)</f>
        <v>0</v>
      </c>
      <c r="E663" s="82">
        <f t="shared" si="23"/>
        <v>0</v>
      </c>
      <c r="I663" s="81" t="str">
        <f>CONCATENATE(Data!M663,"-",Data!L663)</f>
        <v>-</v>
      </c>
      <c r="N663" s="81">
        <f>IF(Data!P663,DATEDIF(Data!O663,Data!P663,"d"),0)</f>
        <v>0</v>
      </c>
      <c r="O663" s="81">
        <f>IF(Data!M663="CD",1,0)</f>
        <v>0</v>
      </c>
      <c r="P663" s="81">
        <f>IF(Data!M663="CD",0,1)</f>
        <v>1</v>
      </c>
      <c r="Q663" s="81">
        <f>IF(Data!Q663&gt;Data!P663,DATEDIF(Data!P663,Data!Q663,"d"),0)</f>
        <v>0</v>
      </c>
      <c r="R663" s="81">
        <f>IF(Data!R663&gt;Data!Q663,DATEDIF(Data!Q663,Data!R663,"d"),0)</f>
        <v>0</v>
      </c>
    </row>
    <row r="664" spans="3:18" x14ac:dyDescent="0.2">
      <c r="C664" s="80">
        <f t="shared" ca="1" si="22"/>
        <v>45959</v>
      </c>
      <c r="D664" s="81">
        <f>IF(Data!I664&lt;&gt;"",DATEDIF(Data!I664,C664,"m"),0)</f>
        <v>0</v>
      </c>
      <c r="E664" s="82">
        <f t="shared" si="23"/>
        <v>0</v>
      </c>
      <c r="I664" s="81" t="str">
        <f>CONCATENATE(Data!M664,"-",Data!L664)</f>
        <v>-</v>
      </c>
      <c r="N664" s="81">
        <f>IF(Data!P664,DATEDIF(Data!O664,Data!P664,"d"),0)</f>
        <v>0</v>
      </c>
      <c r="O664" s="81">
        <f>IF(Data!M664="CD",1,0)</f>
        <v>0</v>
      </c>
      <c r="P664" s="81">
        <f>IF(Data!M664="CD",0,1)</f>
        <v>1</v>
      </c>
      <c r="Q664" s="81">
        <f>IF(Data!Q664&gt;Data!P664,DATEDIF(Data!P664,Data!Q664,"d"),0)</f>
        <v>0</v>
      </c>
      <c r="R664" s="81">
        <f>IF(Data!R664&gt;Data!Q664,DATEDIF(Data!Q664,Data!R664,"d"),0)</f>
        <v>0</v>
      </c>
    </row>
    <row r="665" spans="3:18" x14ac:dyDescent="0.2">
      <c r="C665" s="80">
        <f t="shared" ca="1" si="22"/>
        <v>45959</v>
      </c>
      <c r="D665" s="81">
        <f>IF(Data!I665&lt;&gt;"",DATEDIF(Data!I665,C665,"m"),0)</f>
        <v>0</v>
      </c>
      <c r="E665" s="82">
        <f t="shared" si="23"/>
        <v>0</v>
      </c>
      <c r="I665" s="81" t="str">
        <f>CONCATENATE(Data!M665,"-",Data!L665)</f>
        <v>-</v>
      </c>
      <c r="N665" s="81">
        <f>IF(Data!P665,DATEDIF(Data!O665,Data!P665,"d"),0)</f>
        <v>0</v>
      </c>
      <c r="O665" s="81">
        <f>IF(Data!M665="CD",1,0)</f>
        <v>0</v>
      </c>
      <c r="P665" s="81">
        <f>IF(Data!M665="CD",0,1)</f>
        <v>1</v>
      </c>
      <c r="Q665" s="81">
        <f>IF(Data!Q665&gt;Data!P665,DATEDIF(Data!P665,Data!Q665,"d"),0)</f>
        <v>0</v>
      </c>
      <c r="R665" s="81">
        <f>IF(Data!R665&gt;Data!Q665,DATEDIF(Data!Q665,Data!R665,"d"),0)</f>
        <v>0</v>
      </c>
    </row>
    <row r="666" spans="3:18" x14ac:dyDescent="0.2">
      <c r="C666" s="80">
        <f t="shared" ca="1" si="22"/>
        <v>45959</v>
      </c>
      <c r="D666" s="81">
        <f>IF(Data!I666&lt;&gt;"",DATEDIF(Data!I666,C666,"m"),0)</f>
        <v>0</v>
      </c>
      <c r="E666" s="82">
        <f t="shared" si="23"/>
        <v>0</v>
      </c>
      <c r="I666" s="81" t="str">
        <f>CONCATENATE(Data!M666,"-",Data!L666)</f>
        <v>-</v>
      </c>
      <c r="N666" s="81">
        <f>IF(Data!P666,DATEDIF(Data!O666,Data!P666,"d"),0)</f>
        <v>0</v>
      </c>
      <c r="O666" s="81">
        <f>IF(Data!M666="CD",1,0)</f>
        <v>0</v>
      </c>
      <c r="P666" s="81">
        <f>IF(Data!M666="CD",0,1)</f>
        <v>1</v>
      </c>
      <c r="Q666" s="81">
        <f>IF(Data!Q666&gt;Data!P666,DATEDIF(Data!P666,Data!Q666,"d"),0)</f>
        <v>0</v>
      </c>
      <c r="R666" s="81">
        <f>IF(Data!R666&gt;Data!Q666,DATEDIF(Data!Q666,Data!R666,"d"),0)</f>
        <v>0</v>
      </c>
    </row>
    <row r="667" spans="3:18" x14ac:dyDescent="0.2">
      <c r="C667" s="80">
        <f t="shared" ca="1" si="22"/>
        <v>45959</v>
      </c>
      <c r="D667" s="81">
        <f>IF(Data!I667&lt;&gt;"",DATEDIF(Data!I667,C667,"m"),0)</f>
        <v>0</v>
      </c>
      <c r="E667" s="82">
        <f t="shared" si="23"/>
        <v>0</v>
      </c>
      <c r="I667" s="81" t="str">
        <f>CONCATENATE(Data!M667,"-",Data!L667)</f>
        <v>-</v>
      </c>
      <c r="N667" s="81">
        <f>IF(Data!P667,DATEDIF(Data!O667,Data!P667,"d"),0)</f>
        <v>0</v>
      </c>
      <c r="O667" s="81">
        <f>IF(Data!M667="CD",1,0)</f>
        <v>0</v>
      </c>
      <c r="P667" s="81">
        <f>IF(Data!M667="CD",0,1)</f>
        <v>1</v>
      </c>
      <c r="Q667" s="81">
        <f>IF(Data!Q667&gt;Data!P667,DATEDIF(Data!P667,Data!Q667,"d"),0)</f>
        <v>0</v>
      </c>
      <c r="R667" s="81">
        <f>IF(Data!R667&gt;Data!Q667,DATEDIF(Data!Q667,Data!R667,"d"),0)</f>
        <v>0</v>
      </c>
    </row>
    <row r="668" spans="3:18" x14ac:dyDescent="0.2">
      <c r="C668" s="80">
        <f t="shared" ca="1" si="22"/>
        <v>45959</v>
      </c>
      <c r="D668" s="81">
        <f>IF(Data!I668&lt;&gt;"",DATEDIF(Data!I668,C668,"m"),0)</f>
        <v>0</v>
      </c>
      <c r="E668" s="82">
        <f t="shared" si="23"/>
        <v>0</v>
      </c>
      <c r="I668" s="81" t="str">
        <f>CONCATENATE(Data!M668,"-",Data!L668)</f>
        <v>-</v>
      </c>
      <c r="N668" s="81">
        <f>IF(Data!P668,DATEDIF(Data!O668,Data!P668,"d"),0)</f>
        <v>0</v>
      </c>
      <c r="O668" s="81">
        <f>IF(Data!M668="CD",1,0)</f>
        <v>0</v>
      </c>
      <c r="P668" s="81">
        <f>IF(Data!M668="CD",0,1)</f>
        <v>1</v>
      </c>
      <c r="Q668" s="81">
        <f>IF(Data!Q668&gt;Data!P668,DATEDIF(Data!P668,Data!Q668,"d"),0)</f>
        <v>0</v>
      </c>
      <c r="R668" s="81">
        <f>IF(Data!R668&gt;Data!Q668,DATEDIF(Data!Q668,Data!R668,"d"),0)</f>
        <v>0</v>
      </c>
    </row>
    <row r="669" spans="3:18" x14ac:dyDescent="0.2">
      <c r="C669" s="80">
        <f t="shared" ca="1" si="22"/>
        <v>45959</v>
      </c>
      <c r="D669" s="81">
        <f>IF(Data!I669&lt;&gt;"",DATEDIF(Data!I669,C669,"m"),0)</f>
        <v>0</v>
      </c>
      <c r="E669" s="82">
        <f t="shared" si="23"/>
        <v>0</v>
      </c>
      <c r="I669" s="81" t="str">
        <f>CONCATENATE(Data!M669,"-",Data!L669)</f>
        <v>-</v>
      </c>
      <c r="N669" s="81">
        <f>IF(Data!P669,DATEDIF(Data!O669,Data!P669,"d"),0)</f>
        <v>0</v>
      </c>
      <c r="O669" s="81">
        <f>IF(Data!M669="CD",1,0)</f>
        <v>0</v>
      </c>
      <c r="P669" s="81">
        <f>IF(Data!M669="CD",0,1)</f>
        <v>1</v>
      </c>
      <c r="Q669" s="81">
        <f>IF(Data!Q669&gt;Data!P669,DATEDIF(Data!P669,Data!Q669,"d"),0)</f>
        <v>0</v>
      </c>
      <c r="R669" s="81">
        <f>IF(Data!R669&gt;Data!Q669,DATEDIF(Data!Q669,Data!R669,"d"),0)</f>
        <v>0</v>
      </c>
    </row>
    <row r="670" spans="3:18" x14ac:dyDescent="0.2">
      <c r="C670" s="80">
        <f t="shared" ca="1" si="22"/>
        <v>45959</v>
      </c>
      <c r="D670" s="81">
        <f>IF(Data!I670&lt;&gt;"",DATEDIF(Data!I670,C670,"m"),0)</f>
        <v>0</v>
      </c>
      <c r="E670" s="82">
        <f t="shared" si="23"/>
        <v>0</v>
      </c>
      <c r="I670" s="81" t="str">
        <f>CONCATENATE(Data!M670,"-",Data!L670)</f>
        <v>-</v>
      </c>
      <c r="N670" s="81">
        <f>IF(Data!P670,DATEDIF(Data!O670,Data!P670,"d"),0)</f>
        <v>0</v>
      </c>
      <c r="O670" s="81">
        <f>IF(Data!M670="CD",1,0)</f>
        <v>0</v>
      </c>
      <c r="P670" s="81">
        <f>IF(Data!M670="CD",0,1)</f>
        <v>1</v>
      </c>
      <c r="Q670" s="81">
        <f>IF(Data!Q670&gt;Data!P670,DATEDIF(Data!P670,Data!Q670,"d"),0)</f>
        <v>0</v>
      </c>
      <c r="R670" s="81">
        <f>IF(Data!R670&gt;Data!Q670,DATEDIF(Data!Q670,Data!R670,"d"),0)</f>
        <v>0</v>
      </c>
    </row>
    <row r="671" spans="3:18" x14ac:dyDescent="0.2">
      <c r="C671" s="80">
        <f t="shared" ca="1" si="22"/>
        <v>45959</v>
      </c>
      <c r="D671" s="81">
        <f>IF(Data!I671&lt;&gt;"",DATEDIF(Data!I671,C671,"m"),0)</f>
        <v>0</v>
      </c>
      <c r="E671" s="82">
        <f t="shared" si="23"/>
        <v>0</v>
      </c>
      <c r="I671" s="81" t="str">
        <f>CONCATENATE(Data!M671,"-",Data!L671)</f>
        <v>-</v>
      </c>
      <c r="N671" s="81">
        <f>IF(Data!P671,DATEDIF(Data!O671,Data!P671,"d"),0)</f>
        <v>0</v>
      </c>
      <c r="O671" s="81">
        <f>IF(Data!M671="CD",1,0)</f>
        <v>0</v>
      </c>
      <c r="P671" s="81">
        <f>IF(Data!M671="CD",0,1)</f>
        <v>1</v>
      </c>
      <c r="Q671" s="81">
        <f>IF(Data!Q671&gt;Data!P671,DATEDIF(Data!P671,Data!Q671,"d"),0)</f>
        <v>0</v>
      </c>
      <c r="R671" s="81">
        <f>IF(Data!R671&gt;Data!Q671,DATEDIF(Data!Q671,Data!R671,"d"),0)</f>
        <v>0</v>
      </c>
    </row>
    <row r="672" spans="3:18" x14ac:dyDescent="0.2">
      <c r="C672" s="80">
        <f t="shared" ca="1" si="22"/>
        <v>45959</v>
      </c>
      <c r="D672" s="81">
        <f>IF(Data!I672&lt;&gt;"",DATEDIF(Data!I672,C672,"m"),0)</f>
        <v>0</v>
      </c>
      <c r="E672" s="82">
        <f t="shared" si="23"/>
        <v>0</v>
      </c>
      <c r="I672" s="81" t="str">
        <f>CONCATENATE(Data!M672,"-",Data!L672)</f>
        <v>-</v>
      </c>
      <c r="N672" s="81">
        <f>IF(Data!P672,DATEDIF(Data!O672,Data!P672,"d"),0)</f>
        <v>0</v>
      </c>
      <c r="O672" s="81">
        <f>IF(Data!M672="CD",1,0)</f>
        <v>0</v>
      </c>
      <c r="P672" s="81">
        <f>IF(Data!M672="CD",0,1)</f>
        <v>1</v>
      </c>
      <c r="Q672" s="81">
        <f>IF(Data!Q672&gt;Data!P672,DATEDIF(Data!P672,Data!Q672,"d"),0)</f>
        <v>0</v>
      </c>
      <c r="R672" s="81">
        <f>IF(Data!R672&gt;Data!Q672,DATEDIF(Data!Q672,Data!R672,"d"),0)</f>
        <v>0</v>
      </c>
    </row>
    <row r="673" spans="3:18" x14ac:dyDescent="0.2">
      <c r="C673" s="80">
        <f t="shared" ca="1" si="22"/>
        <v>45959</v>
      </c>
      <c r="D673" s="81">
        <f>IF(Data!I673&lt;&gt;"",DATEDIF(Data!I673,C673,"m"),0)</f>
        <v>0</v>
      </c>
      <c r="E673" s="82">
        <f t="shared" si="23"/>
        <v>0</v>
      </c>
      <c r="I673" s="81" t="str">
        <f>CONCATENATE(Data!M673,"-",Data!L673)</f>
        <v>-</v>
      </c>
      <c r="N673" s="81">
        <f>IF(Data!P673,DATEDIF(Data!O673,Data!P673,"d"),0)</f>
        <v>0</v>
      </c>
      <c r="O673" s="81">
        <f>IF(Data!M673="CD",1,0)</f>
        <v>0</v>
      </c>
      <c r="P673" s="81">
        <f>IF(Data!M673="CD",0,1)</f>
        <v>1</v>
      </c>
      <c r="Q673" s="81">
        <f>IF(Data!Q673&gt;Data!P673,DATEDIF(Data!P673,Data!Q673,"d"),0)</f>
        <v>0</v>
      </c>
      <c r="R673" s="81">
        <f>IF(Data!R673&gt;Data!Q673,DATEDIF(Data!Q673,Data!R673,"d"),0)</f>
        <v>0</v>
      </c>
    </row>
    <row r="674" spans="3:18" x14ac:dyDescent="0.2">
      <c r="C674" s="80">
        <f t="shared" ca="1" si="22"/>
        <v>45959</v>
      </c>
      <c r="D674" s="81">
        <f>IF(Data!I674&lt;&gt;"",DATEDIF(Data!I674,C674,"m"),0)</f>
        <v>0</v>
      </c>
      <c r="E674" s="82">
        <f t="shared" si="23"/>
        <v>0</v>
      </c>
      <c r="I674" s="81" t="str">
        <f>CONCATENATE(Data!M674,"-",Data!L674)</f>
        <v>-</v>
      </c>
      <c r="N674" s="81">
        <f>IF(Data!P674,DATEDIF(Data!O674,Data!P674,"d"),0)</f>
        <v>0</v>
      </c>
      <c r="O674" s="81">
        <f>IF(Data!M674="CD",1,0)</f>
        <v>0</v>
      </c>
      <c r="P674" s="81">
        <f>IF(Data!M674="CD",0,1)</f>
        <v>1</v>
      </c>
      <c r="Q674" s="81">
        <f>IF(Data!Q674&gt;Data!P674,DATEDIF(Data!P674,Data!Q674,"d"),0)</f>
        <v>0</v>
      </c>
      <c r="R674" s="81">
        <f>IF(Data!R674&gt;Data!Q674,DATEDIF(Data!Q674,Data!R674,"d"),0)</f>
        <v>0</v>
      </c>
    </row>
    <row r="675" spans="3:18" x14ac:dyDescent="0.2">
      <c r="C675" s="80">
        <f t="shared" ca="1" si="22"/>
        <v>45959</v>
      </c>
      <c r="D675" s="81">
        <f>IF(Data!I675&lt;&gt;"",DATEDIF(Data!I675,C675,"m"),0)</f>
        <v>0</v>
      </c>
      <c r="E675" s="82">
        <f t="shared" si="23"/>
        <v>0</v>
      </c>
      <c r="I675" s="81" t="str">
        <f>CONCATENATE(Data!M675,"-",Data!L675)</f>
        <v>-</v>
      </c>
      <c r="N675" s="81">
        <f>IF(Data!P675,DATEDIF(Data!O675,Data!P675,"d"),0)</f>
        <v>0</v>
      </c>
      <c r="O675" s="81">
        <f>IF(Data!M675="CD",1,0)</f>
        <v>0</v>
      </c>
      <c r="P675" s="81">
        <f>IF(Data!M675="CD",0,1)</f>
        <v>1</v>
      </c>
      <c r="Q675" s="81">
        <f>IF(Data!Q675&gt;Data!P675,DATEDIF(Data!P675,Data!Q675,"d"),0)</f>
        <v>0</v>
      </c>
      <c r="R675" s="81">
        <f>IF(Data!R675&gt;Data!Q675,DATEDIF(Data!Q675,Data!R675,"d"),0)</f>
        <v>0</v>
      </c>
    </row>
    <row r="676" spans="3:18" x14ac:dyDescent="0.2">
      <c r="C676" s="80">
        <f t="shared" ca="1" si="22"/>
        <v>45959</v>
      </c>
      <c r="D676" s="81">
        <f>IF(Data!I676&lt;&gt;"",DATEDIF(Data!I676,C676,"m"),0)</f>
        <v>0</v>
      </c>
      <c r="E676" s="82">
        <f t="shared" si="23"/>
        <v>0</v>
      </c>
      <c r="I676" s="81" t="str">
        <f>CONCATENATE(Data!M676,"-",Data!L676)</f>
        <v>-</v>
      </c>
      <c r="N676" s="81">
        <f>IF(Data!P676,DATEDIF(Data!O676,Data!P676,"d"),0)</f>
        <v>0</v>
      </c>
      <c r="O676" s="81">
        <f>IF(Data!M676="CD",1,0)</f>
        <v>0</v>
      </c>
      <c r="P676" s="81">
        <f>IF(Data!M676="CD",0,1)</f>
        <v>1</v>
      </c>
      <c r="Q676" s="81">
        <f>IF(Data!Q676&gt;Data!P676,DATEDIF(Data!P676,Data!Q676,"d"),0)</f>
        <v>0</v>
      </c>
      <c r="R676" s="81">
        <f>IF(Data!R676&gt;Data!Q676,DATEDIF(Data!Q676,Data!R676,"d"),0)</f>
        <v>0</v>
      </c>
    </row>
    <row r="677" spans="3:18" x14ac:dyDescent="0.2">
      <c r="C677" s="80">
        <f t="shared" ca="1" si="22"/>
        <v>45959</v>
      </c>
      <c r="D677" s="81">
        <f>IF(Data!I677&lt;&gt;"",DATEDIF(Data!I677,C677,"m"),0)</f>
        <v>0</v>
      </c>
      <c r="E677" s="82">
        <f t="shared" si="23"/>
        <v>0</v>
      </c>
      <c r="I677" s="81" t="str">
        <f>CONCATENATE(Data!M677,"-",Data!L677)</f>
        <v>-</v>
      </c>
      <c r="N677" s="81">
        <f>IF(Data!P677,DATEDIF(Data!O677,Data!P677,"d"),0)</f>
        <v>0</v>
      </c>
      <c r="O677" s="81">
        <f>IF(Data!M677="CD",1,0)</f>
        <v>0</v>
      </c>
      <c r="P677" s="81">
        <f>IF(Data!M677="CD",0,1)</f>
        <v>1</v>
      </c>
      <c r="Q677" s="81">
        <f>IF(Data!Q677&gt;Data!P677,DATEDIF(Data!P677,Data!Q677,"d"),0)</f>
        <v>0</v>
      </c>
      <c r="R677" s="81">
        <f>IF(Data!R677&gt;Data!Q677,DATEDIF(Data!Q677,Data!R677,"d"),0)</f>
        <v>0</v>
      </c>
    </row>
    <row r="678" spans="3:18" x14ac:dyDescent="0.2">
      <c r="C678" s="80">
        <f t="shared" ca="1" si="22"/>
        <v>45959</v>
      </c>
      <c r="D678" s="81">
        <f>IF(Data!I678&lt;&gt;"",DATEDIF(Data!I678,C678,"m"),0)</f>
        <v>0</v>
      </c>
      <c r="E678" s="82">
        <f t="shared" si="23"/>
        <v>0</v>
      </c>
      <c r="I678" s="81" t="str">
        <f>CONCATENATE(Data!M678,"-",Data!L678)</f>
        <v>-</v>
      </c>
      <c r="N678" s="81">
        <f>IF(Data!P678,DATEDIF(Data!O678,Data!P678,"d"),0)</f>
        <v>0</v>
      </c>
      <c r="O678" s="81">
        <f>IF(Data!M678="CD",1,0)</f>
        <v>0</v>
      </c>
      <c r="P678" s="81">
        <f>IF(Data!M678="CD",0,1)</f>
        <v>1</v>
      </c>
      <c r="Q678" s="81">
        <f>IF(Data!Q678&gt;Data!P678,DATEDIF(Data!P678,Data!Q678,"d"),0)</f>
        <v>0</v>
      </c>
      <c r="R678" s="81">
        <f>IF(Data!R678&gt;Data!Q678,DATEDIF(Data!Q678,Data!R678,"d"),0)</f>
        <v>0</v>
      </c>
    </row>
    <row r="679" spans="3:18" x14ac:dyDescent="0.2">
      <c r="C679" s="80">
        <f t="shared" ca="1" si="22"/>
        <v>45959</v>
      </c>
      <c r="D679" s="81">
        <f>IF(Data!I679&lt;&gt;"",DATEDIF(Data!I679,C679,"m"),0)</f>
        <v>0</v>
      </c>
      <c r="E679" s="82">
        <f t="shared" si="23"/>
        <v>0</v>
      </c>
      <c r="I679" s="81" t="str">
        <f>CONCATENATE(Data!M679,"-",Data!L679)</f>
        <v>-</v>
      </c>
      <c r="N679" s="81">
        <f>IF(Data!P679,DATEDIF(Data!O679,Data!P679,"d"),0)</f>
        <v>0</v>
      </c>
      <c r="O679" s="81">
        <f>IF(Data!M679="CD",1,0)</f>
        <v>0</v>
      </c>
      <c r="P679" s="81">
        <f>IF(Data!M679="CD",0,1)</f>
        <v>1</v>
      </c>
      <c r="Q679" s="81">
        <f>IF(Data!Q679&gt;Data!P679,DATEDIF(Data!P679,Data!Q679,"d"),0)</f>
        <v>0</v>
      </c>
      <c r="R679" s="81">
        <f>IF(Data!R679&gt;Data!Q679,DATEDIF(Data!Q679,Data!R679,"d"),0)</f>
        <v>0</v>
      </c>
    </row>
    <row r="680" spans="3:18" x14ac:dyDescent="0.2">
      <c r="C680" s="80">
        <f t="shared" ca="1" si="22"/>
        <v>45959</v>
      </c>
      <c r="D680" s="81">
        <f>IF(Data!I680&lt;&gt;"",DATEDIF(Data!I680,C680,"m"),0)</f>
        <v>0</v>
      </c>
      <c r="E680" s="82">
        <f t="shared" si="23"/>
        <v>0</v>
      </c>
      <c r="I680" s="81" t="str">
        <f>CONCATENATE(Data!M680,"-",Data!L680)</f>
        <v>-</v>
      </c>
      <c r="N680" s="81">
        <f>IF(Data!P680,DATEDIF(Data!O680,Data!P680,"d"),0)</f>
        <v>0</v>
      </c>
      <c r="O680" s="81">
        <f>IF(Data!M680="CD",1,0)</f>
        <v>0</v>
      </c>
      <c r="P680" s="81">
        <f>IF(Data!M680="CD",0,1)</f>
        <v>1</v>
      </c>
      <c r="Q680" s="81">
        <f>IF(Data!Q680&gt;Data!P680,DATEDIF(Data!P680,Data!Q680,"d"),0)</f>
        <v>0</v>
      </c>
      <c r="R680" s="81">
        <f>IF(Data!R680&gt;Data!Q680,DATEDIF(Data!Q680,Data!R680,"d"),0)</f>
        <v>0</v>
      </c>
    </row>
    <row r="681" spans="3:18" x14ac:dyDescent="0.2">
      <c r="C681" s="80">
        <f t="shared" ca="1" si="22"/>
        <v>45959</v>
      </c>
      <c r="D681" s="81">
        <f>IF(Data!I681&lt;&gt;"",DATEDIF(Data!I681,C681,"m"),0)</f>
        <v>0</v>
      </c>
      <c r="E681" s="82">
        <f t="shared" si="23"/>
        <v>0</v>
      </c>
      <c r="I681" s="81" t="str">
        <f>CONCATENATE(Data!M681,"-",Data!L681)</f>
        <v>-</v>
      </c>
      <c r="N681" s="81">
        <f>IF(Data!P681,DATEDIF(Data!O681,Data!P681,"d"),0)</f>
        <v>0</v>
      </c>
      <c r="O681" s="81">
        <f>IF(Data!M681="CD",1,0)</f>
        <v>0</v>
      </c>
      <c r="P681" s="81">
        <f>IF(Data!M681="CD",0,1)</f>
        <v>1</v>
      </c>
      <c r="Q681" s="81">
        <f>IF(Data!Q681&gt;Data!P681,DATEDIF(Data!P681,Data!Q681,"d"),0)</f>
        <v>0</v>
      </c>
      <c r="R681" s="81">
        <f>IF(Data!R681&gt;Data!Q681,DATEDIF(Data!Q681,Data!R681,"d"),0)</f>
        <v>0</v>
      </c>
    </row>
    <row r="682" spans="3:18" x14ac:dyDescent="0.2">
      <c r="C682" s="80">
        <f t="shared" ca="1" si="22"/>
        <v>45959</v>
      </c>
      <c r="D682" s="81">
        <f>IF(Data!I682&lt;&gt;"",DATEDIF(Data!I682,C682,"m"),0)</f>
        <v>0</v>
      </c>
      <c r="E682" s="82">
        <f t="shared" si="23"/>
        <v>0</v>
      </c>
      <c r="I682" s="81" t="str">
        <f>CONCATENATE(Data!M682,"-",Data!L682)</f>
        <v>-</v>
      </c>
      <c r="N682" s="81">
        <f>IF(Data!P682,DATEDIF(Data!O682,Data!P682,"d"),0)</f>
        <v>0</v>
      </c>
      <c r="O682" s="81">
        <f>IF(Data!M682="CD",1,0)</f>
        <v>0</v>
      </c>
      <c r="P682" s="81">
        <f>IF(Data!M682="CD",0,1)</f>
        <v>1</v>
      </c>
      <c r="Q682" s="81">
        <f>IF(Data!Q682&gt;Data!P682,DATEDIF(Data!P682,Data!Q682,"d"),0)</f>
        <v>0</v>
      </c>
      <c r="R682" s="81">
        <f>IF(Data!R682&gt;Data!Q682,DATEDIF(Data!Q682,Data!R682,"d"),0)</f>
        <v>0</v>
      </c>
    </row>
    <row r="683" spans="3:18" x14ac:dyDescent="0.2">
      <c r="C683" s="80">
        <f t="shared" ca="1" si="22"/>
        <v>45959</v>
      </c>
      <c r="D683" s="81">
        <f>IF(Data!I683&lt;&gt;"",DATEDIF(Data!I683,C683,"m"),0)</f>
        <v>0</v>
      </c>
      <c r="E683" s="82">
        <f t="shared" si="23"/>
        <v>0</v>
      </c>
      <c r="I683" s="81" t="str">
        <f>CONCATENATE(Data!M683,"-",Data!L683)</f>
        <v>-</v>
      </c>
      <c r="N683" s="81">
        <f>IF(Data!P683,DATEDIF(Data!O683,Data!P683,"d"),0)</f>
        <v>0</v>
      </c>
      <c r="O683" s="81">
        <f>IF(Data!M683="CD",1,0)</f>
        <v>0</v>
      </c>
      <c r="P683" s="81">
        <f>IF(Data!M683="CD",0,1)</f>
        <v>1</v>
      </c>
      <c r="Q683" s="81">
        <f>IF(Data!Q683&gt;Data!P683,DATEDIF(Data!P683,Data!Q683,"d"),0)</f>
        <v>0</v>
      </c>
      <c r="R683" s="81">
        <f>IF(Data!R683&gt;Data!Q683,DATEDIF(Data!Q683,Data!R683,"d"),0)</f>
        <v>0</v>
      </c>
    </row>
    <row r="684" spans="3:18" x14ac:dyDescent="0.2">
      <c r="C684" s="80">
        <f t="shared" ca="1" si="22"/>
        <v>45959</v>
      </c>
      <c r="D684" s="81">
        <f>IF(Data!I684&lt;&gt;"",DATEDIF(Data!I684,C684,"m"),0)</f>
        <v>0</v>
      </c>
      <c r="E684" s="82">
        <f t="shared" si="23"/>
        <v>0</v>
      </c>
      <c r="I684" s="81" t="str">
        <f>CONCATENATE(Data!M684,"-",Data!L684)</f>
        <v>-</v>
      </c>
      <c r="N684" s="81">
        <f>IF(Data!P684,DATEDIF(Data!O684,Data!P684,"d"),0)</f>
        <v>0</v>
      </c>
      <c r="O684" s="81">
        <f>IF(Data!M684="CD",1,0)</f>
        <v>0</v>
      </c>
      <c r="P684" s="81">
        <f>IF(Data!M684="CD",0,1)</f>
        <v>1</v>
      </c>
      <c r="Q684" s="81">
        <f>IF(Data!Q684&gt;Data!P684,DATEDIF(Data!P684,Data!Q684,"d"),0)</f>
        <v>0</v>
      </c>
      <c r="R684" s="81">
        <f>IF(Data!R684&gt;Data!Q684,DATEDIF(Data!Q684,Data!R684,"d"),0)</f>
        <v>0</v>
      </c>
    </row>
    <row r="685" spans="3:18" x14ac:dyDescent="0.2">
      <c r="C685" s="80">
        <f t="shared" ca="1" si="22"/>
        <v>45959</v>
      </c>
      <c r="D685" s="81">
        <f>IF(Data!I685&lt;&gt;"",DATEDIF(Data!I685,C685,"m"),0)</f>
        <v>0</v>
      </c>
      <c r="E685" s="82">
        <f t="shared" si="23"/>
        <v>0</v>
      </c>
      <c r="I685" s="81" t="str">
        <f>CONCATENATE(Data!M685,"-",Data!L685)</f>
        <v>-</v>
      </c>
      <c r="N685" s="81">
        <f>IF(Data!P685,DATEDIF(Data!O685,Data!P685,"d"),0)</f>
        <v>0</v>
      </c>
      <c r="O685" s="81">
        <f>IF(Data!M685="CD",1,0)</f>
        <v>0</v>
      </c>
      <c r="P685" s="81">
        <f>IF(Data!M685="CD",0,1)</f>
        <v>1</v>
      </c>
      <c r="Q685" s="81">
        <f>IF(Data!Q685&gt;Data!P685,DATEDIF(Data!P685,Data!Q685,"d"),0)</f>
        <v>0</v>
      </c>
      <c r="R685" s="81">
        <f>IF(Data!R685&gt;Data!Q685,DATEDIF(Data!Q685,Data!R685,"d"),0)</f>
        <v>0</v>
      </c>
    </row>
    <row r="686" spans="3:18" x14ac:dyDescent="0.2">
      <c r="C686" s="80">
        <f t="shared" ca="1" si="22"/>
        <v>45959</v>
      </c>
      <c r="D686" s="81">
        <f>IF(Data!I686&lt;&gt;"",DATEDIF(Data!I686,C686,"m"),0)</f>
        <v>0</v>
      </c>
      <c r="E686" s="82">
        <f t="shared" si="23"/>
        <v>0</v>
      </c>
      <c r="I686" s="81" t="str">
        <f>CONCATENATE(Data!M686,"-",Data!L686)</f>
        <v>-</v>
      </c>
      <c r="N686" s="81">
        <f>IF(Data!P686,DATEDIF(Data!O686,Data!P686,"d"),0)</f>
        <v>0</v>
      </c>
      <c r="O686" s="81">
        <f>IF(Data!M686="CD",1,0)</f>
        <v>0</v>
      </c>
      <c r="P686" s="81">
        <f>IF(Data!M686="CD",0,1)</f>
        <v>1</v>
      </c>
      <c r="Q686" s="81">
        <f>IF(Data!Q686&gt;Data!P686,DATEDIF(Data!P686,Data!Q686,"d"),0)</f>
        <v>0</v>
      </c>
      <c r="R686" s="81">
        <f>IF(Data!R686&gt;Data!Q686,DATEDIF(Data!Q686,Data!R686,"d"),0)</f>
        <v>0</v>
      </c>
    </row>
    <row r="687" spans="3:18" x14ac:dyDescent="0.2">
      <c r="C687" s="80">
        <f t="shared" ca="1" si="22"/>
        <v>45959</v>
      </c>
      <c r="D687" s="81">
        <f>IF(Data!I687&lt;&gt;"",DATEDIF(Data!I687,C687,"m"),0)</f>
        <v>0</v>
      </c>
      <c r="E687" s="82">
        <f t="shared" si="23"/>
        <v>0</v>
      </c>
      <c r="I687" s="81" t="str">
        <f>CONCATENATE(Data!M687,"-",Data!L687)</f>
        <v>-</v>
      </c>
      <c r="N687" s="81">
        <f>IF(Data!P687,DATEDIF(Data!O687,Data!P687,"d"),0)</f>
        <v>0</v>
      </c>
      <c r="O687" s="81">
        <f>IF(Data!M687="CD",1,0)</f>
        <v>0</v>
      </c>
      <c r="P687" s="81">
        <f>IF(Data!M687="CD",0,1)</f>
        <v>1</v>
      </c>
      <c r="Q687" s="81">
        <f>IF(Data!Q687&gt;Data!P687,DATEDIF(Data!P687,Data!Q687,"d"),0)</f>
        <v>0</v>
      </c>
      <c r="R687" s="81">
        <f>IF(Data!R687&gt;Data!Q687,DATEDIF(Data!Q687,Data!R687,"d"),0)</f>
        <v>0</v>
      </c>
    </row>
    <row r="688" spans="3:18" x14ac:dyDescent="0.2">
      <c r="C688" s="80">
        <f t="shared" ca="1" si="22"/>
        <v>45959</v>
      </c>
      <c r="D688" s="81">
        <f>IF(Data!I688&lt;&gt;"",DATEDIF(Data!I688,C688,"m"),0)</f>
        <v>0</v>
      </c>
      <c r="E688" s="82">
        <f t="shared" si="23"/>
        <v>0</v>
      </c>
      <c r="I688" s="81" t="str">
        <f>CONCATENATE(Data!M688,"-",Data!L688)</f>
        <v>-</v>
      </c>
      <c r="N688" s="81">
        <f>IF(Data!P688,DATEDIF(Data!O688,Data!P688,"d"),0)</f>
        <v>0</v>
      </c>
      <c r="O688" s="81">
        <f>IF(Data!M688="CD",1,0)</f>
        <v>0</v>
      </c>
      <c r="P688" s="81">
        <f>IF(Data!M688="CD",0,1)</f>
        <v>1</v>
      </c>
      <c r="Q688" s="81">
        <f>IF(Data!Q688&gt;Data!P688,DATEDIF(Data!P688,Data!Q688,"d"),0)</f>
        <v>0</v>
      </c>
      <c r="R688" s="81">
        <f>IF(Data!R688&gt;Data!Q688,DATEDIF(Data!Q688,Data!R688,"d"),0)</f>
        <v>0</v>
      </c>
    </row>
    <row r="689" spans="3:18" x14ac:dyDescent="0.2">
      <c r="C689" s="80">
        <f t="shared" ca="1" si="22"/>
        <v>45959</v>
      </c>
      <c r="D689" s="81">
        <f>IF(Data!I689&lt;&gt;"",DATEDIF(Data!I689,C689,"m"),0)</f>
        <v>0</v>
      </c>
      <c r="E689" s="82">
        <f t="shared" si="23"/>
        <v>0</v>
      </c>
      <c r="I689" s="81" t="str">
        <f>CONCATENATE(Data!M689,"-",Data!L689)</f>
        <v>-</v>
      </c>
      <c r="N689" s="81">
        <f>IF(Data!P689,DATEDIF(Data!O689,Data!P689,"d"),0)</f>
        <v>0</v>
      </c>
      <c r="O689" s="81">
        <f>IF(Data!M689="CD",1,0)</f>
        <v>0</v>
      </c>
      <c r="P689" s="81">
        <f>IF(Data!M689="CD",0,1)</f>
        <v>1</v>
      </c>
      <c r="Q689" s="81">
        <f>IF(Data!Q689&gt;Data!P689,DATEDIF(Data!P689,Data!Q689,"d"),0)</f>
        <v>0</v>
      </c>
      <c r="R689" s="81">
        <f>IF(Data!R689&gt;Data!Q689,DATEDIF(Data!Q689,Data!R689,"d"),0)</f>
        <v>0</v>
      </c>
    </row>
    <row r="690" spans="3:18" x14ac:dyDescent="0.2">
      <c r="C690" s="80">
        <f t="shared" ca="1" si="22"/>
        <v>45959</v>
      </c>
      <c r="D690" s="81">
        <f>IF(Data!I690&lt;&gt;"",DATEDIF(Data!I690,C690,"m"),0)</f>
        <v>0</v>
      </c>
      <c r="E690" s="82">
        <f t="shared" si="23"/>
        <v>0</v>
      </c>
      <c r="I690" s="81" t="str">
        <f>CONCATENATE(Data!M690,"-",Data!L690)</f>
        <v>-</v>
      </c>
      <c r="N690" s="81">
        <f>IF(Data!P690,DATEDIF(Data!O690,Data!P690,"d"),0)</f>
        <v>0</v>
      </c>
      <c r="O690" s="81">
        <f>IF(Data!M690="CD",1,0)</f>
        <v>0</v>
      </c>
      <c r="P690" s="81">
        <f>IF(Data!M690="CD",0,1)</f>
        <v>1</v>
      </c>
      <c r="Q690" s="81">
        <f>IF(Data!Q690&gt;Data!P690,DATEDIF(Data!P690,Data!Q690,"d"),0)</f>
        <v>0</v>
      </c>
      <c r="R690" s="81">
        <f>IF(Data!R690&gt;Data!Q690,DATEDIF(Data!Q690,Data!R690,"d"),0)</f>
        <v>0</v>
      </c>
    </row>
    <row r="691" spans="3:18" x14ac:dyDescent="0.2">
      <c r="C691" s="80">
        <f t="shared" ca="1" si="22"/>
        <v>45959</v>
      </c>
      <c r="D691" s="81">
        <f>IF(Data!I691&lt;&gt;"",DATEDIF(Data!I691,C691,"m"),0)</f>
        <v>0</v>
      </c>
      <c r="E691" s="82">
        <f t="shared" si="23"/>
        <v>0</v>
      </c>
      <c r="I691" s="81" t="str">
        <f>CONCATENATE(Data!M691,"-",Data!L691)</f>
        <v>-</v>
      </c>
      <c r="N691" s="81">
        <f>IF(Data!P691,DATEDIF(Data!O691,Data!P691,"d"),0)</f>
        <v>0</v>
      </c>
      <c r="O691" s="81">
        <f>IF(Data!M691="CD",1,0)</f>
        <v>0</v>
      </c>
      <c r="P691" s="81">
        <f>IF(Data!M691="CD",0,1)</f>
        <v>1</v>
      </c>
      <c r="Q691" s="81">
        <f>IF(Data!Q691&gt;Data!P691,DATEDIF(Data!P691,Data!Q691,"d"),0)</f>
        <v>0</v>
      </c>
      <c r="R691" s="81">
        <f>IF(Data!R691&gt;Data!Q691,DATEDIF(Data!Q691,Data!R691,"d"),0)</f>
        <v>0</v>
      </c>
    </row>
    <row r="692" spans="3:18" x14ac:dyDescent="0.2">
      <c r="C692" s="80">
        <f t="shared" ca="1" si="22"/>
        <v>45959</v>
      </c>
      <c r="D692" s="81">
        <f>IF(Data!I692&lt;&gt;"",DATEDIF(Data!I692,C692,"m"),0)</f>
        <v>0</v>
      </c>
      <c r="E692" s="82">
        <f t="shared" si="23"/>
        <v>0</v>
      </c>
      <c r="I692" s="81" t="str">
        <f>CONCATENATE(Data!M692,"-",Data!L692)</f>
        <v>-</v>
      </c>
      <c r="N692" s="81">
        <f>IF(Data!P692,DATEDIF(Data!O692,Data!P692,"d"),0)</f>
        <v>0</v>
      </c>
      <c r="O692" s="81">
        <f>IF(Data!M692="CD",1,0)</f>
        <v>0</v>
      </c>
      <c r="P692" s="81">
        <f>IF(Data!M692="CD",0,1)</f>
        <v>1</v>
      </c>
      <c r="Q692" s="81">
        <f>IF(Data!Q692&gt;Data!P692,DATEDIF(Data!P692,Data!Q692,"d"),0)</f>
        <v>0</v>
      </c>
      <c r="R692" s="81">
        <f>IF(Data!R692&gt;Data!Q692,DATEDIF(Data!Q692,Data!R692,"d"),0)</f>
        <v>0</v>
      </c>
    </row>
    <row r="693" spans="3:18" x14ac:dyDescent="0.2">
      <c r="C693" s="80">
        <f t="shared" ca="1" si="22"/>
        <v>45959</v>
      </c>
      <c r="D693" s="81">
        <f>IF(Data!I693&lt;&gt;"",DATEDIF(Data!I693,C693,"m"),0)</f>
        <v>0</v>
      </c>
      <c r="E693" s="82">
        <f t="shared" si="23"/>
        <v>0</v>
      </c>
      <c r="I693" s="81" t="str">
        <f>CONCATENATE(Data!M693,"-",Data!L693)</f>
        <v>-</v>
      </c>
      <c r="N693" s="81">
        <f>IF(Data!P693,DATEDIF(Data!O693,Data!P693,"d"),0)</f>
        <v>0</v>
      </c>
      <c r="O693" s="81">
        <f>IF(Data!M693="CD",1,0)</f>
        <v>0</v>
      </c>
      <c r="P693" s="81">
        <f>IF(Data!M693="CD",0,1)</f>
        <v>1</v>
      </c>
      <c r="Q693" s="81">
        <f>IF(Data!Q693&gt;Data!P693,DATEDIF(Data!P693,Data!Q693,"d"),0)</f>
        <v>0</v>
      </c>
      <c r="R693" s="81">
        <f>IF(Data!R693&gt;Data!Q693,DATEDIF(Data!Q693,Data!R693,"d"),0)</f>
        <v>0</v>
      </c>
    </row>
    <row r="694" spans="3:18" x14ac:dyDescent="0.2">
      <c r="C694" s="80">
        <f t="shared" ca="1" si="22"/>
        <v>45959</v>
      </c>
      <c r="D694" s="81">
        <f>IF(Data!I694&lt;&gt;"",DATEDIF(Data!I694,C694,"m"),0)</f>
        <v>0</v>
      </c>
      <c r="E694" s="82">
        <f t="shared" si="23"/>
        <v>0</v>
      </c>
      <c r="I694" s="81" t="str">
        <f>CONCATENATE(Data!M694,"-",Data!L694)</f>
        <v>-</v>
      </c>
      <c r="N694" s="81">
        <f>IF(Data!P694,DATEDIF(Data!O694,Data!P694,"d"),0)</f>
        <v>0</v>
      </c>
      <c r="O694" s="81">
        <f>IF(Data!M694="CD",1,0)</f>
        <v>0</v>
      </c>
      <c r="P694" s="81">
        <f>IF(Data!M694="CD",0,1)</f>
        <v>1</v>
      </c>
      <c r="Q694" s="81">
        <f>IF(Data!Q694&gt;Data!P694,DATEDIF(Data!P694,Data!Q694,"d"),0)</f>
        <v>0</v>
      </c>
      <c r="R694" s="81">
        <f>IF(Data!R694&gt;Data!Q694,DATEDIF(Data!Q694,Data!R694,"d"),0)</f>
        <v>0</v>
      </c>
    </row>
    <row r="695" spans="3:18" x14ac:dyDescent="0.2">
      <c r="C695" s="80">
        <f t="shared" ca="1" si="22"/>
        <v>45959</v>
      </c>
      <c r="D695" s="81">
        <f>IF(Data!I695&lt;&gt;"",DATEDIF(Data!I695,C695,"m"),0)</f>
        <v>0</v>
      </c>
      <c r="E695" s="82">
        <f t="shared" si="23"/>
        <v>0</v>
      </c>
      <c r="I695" s="81" t="str">
        <f>CONCATENATE(Data!M695,"-",Data!L695)</f>
        <v>-</v>
      </c>
      <c r="N695" s="81">
        <f>IF(Data!P695,DATEDIF(Data!O695,Data!P695,"d"),0)</f>
        <v>0</v>
      </c>
      <c r="O695" s="81">
        <f>IF(Data!M695="CD",1,0)</f>
        <v>0</v>
      </c>
      <c r="P695" s="81">
        <f>IF(Data!M695="CD",0,1)</f>
        <v>1</v>
      </c>
      <c r="Q695" s="81">
        <f>IF(Data!Q695&gt;Data!P695,DATEDIF(Data!P695,Data!Q695,"d"),0)</f>
        <v>0</v>
      </c>
      <c r="R695" s="81">
        <f>IF(Data!R695&gt;Data!Q695,DATEDIF(Data!Q695,Data!R695,"d"),0)</f>
        <v>0</v>
      </c>
    </row>
    <row r="696" spans="3:18" x14ac:dyDescent="0.2">
      <c r="C696" s="80">
        <f t="shared" ca="1" si="22"/>
        <v>45959</v>
      </c>
      <c r="D696" s="81">
        <f>IF(Data!I696&lt;&gt;"",DATEDIF(Data!I696,C696,"m"),0)</f>
        <v>0</v>
      </c>
      <c r="E696" s="82">
        <f t="shared" si="23"/>
        <v>0</v>
      </c>
      <c r="I696" s="81" t="str">
        <f>CONCATENATE(Data!M696,"-",Data!L696)</f>
        <v>-</v>
      </c>
      <c r="N696" s="81">
        <f>IF(Data!P696,DATEDIF(Data!O696,Data!P696,"d"),0)</f>
        <v>0</v>
      </c>
      <c r="O696" s="81">
        <f>IF(Data!M696="CD",1,0)</f>
        <v>0</v>
      </c>
      <c r="P696" s="81">
        <f>IF(Data!M696="CD",0,1)</f>
        <v>1</v>
      </c>
      <c r="Q696" s="81">
        <f>IF(Data!Q696&gt;Data!P696,DATEDIF(Data!P696,Data!Q696,"d"),0)</f>
        <v>0</v>
      </c>
      <c r="R696" s="81">
        <f>IF(Data!R696&gt;Data!Q696,DATEDIF(Data!Q696,Data!R696,"d"),0)</f>
        <v>0</v>
      </c>
    </row>
    <row r="697" spans="3:18" x14ac:dyDescent="0.2">
      <c r="C697" s="80">
        <f t="shared" ca="1" si="22"/>
        <v>45959</v>
      </c>
      <c r="D697" s="81">
        <f>IF(Data!I697&lt;&gt;"",DATEDIF(Data!I697,C697,"m"),0)</f>
        <v>0</v>
      </c>
      <c r="E697" s="82">
        <f t="shared" si="23"/>
        <v>0</v>
      </c>
      <c r="I697" s="81" t="str">
        <f>CONCATENATE(Data!M697,"-",Data!L697)</f>
        <v>-</v>
      </c>
      <c r="N697" s="81">
        <f>IF(Data!P697,DATEDIF(Data!O697,Data!P697,"d"),0)</f>
        <v>0</v>
      </c>
      <c r="O697" s="81">
        <f>IF(Data!M697="CD",1,0)</f>
        <v>0</v>
      </c>
      <c r="P697" s="81">
        <f>IF(Data!M697="CD",0,1)</f>
        <v>1</v>
      </c>
      <c r="Q697" s="81">
        <f>IF(Data!Q697&gt;Data!P697,DATEDIF(Data!P697,Data!Q697,"d"),0)</f>
        <v>0</v>
      </c>
      <c r="R697" s="81">
        <f>IF(Data!R697&gt;Data!Q697,DATEDIF(Data!Q697,Data!R697,"d"),0)</f>
        <v>0</v>
      </c>
    </row>
    <row r="698" spans="3:18" x14ac:dyDescent="0.2">
      <c r="C698" s="80">
        <f t="shared" ca="1" si="22"/>
        <v>45959</v>
      </c>
      <c r="D698" s="81">
        <f>IF(Data!I698&lt;&gt;"",DATEDIF(Data!I698,C698,"m"),0)</f>
        <v>0</v>
      </c>
      <c r="E698" s="82">
        <f t="shared" si="23"/>
        <v>0</v>
      </c>
      <c r="I698" s="81" t="str">
        <f>CONCATENATE(Data!M698,"-",Data!L698)</f>
        <v>-</v>
      </c>
      <c r="N698" s="81">
        <f>IF(Data!P698,DATEDIF(Data!O698,Data!P698,"d"),0)</f>
        <v>0</v>
      </c>
      <c r="O698" s="81">
        <f>IF(Data!M698="CD",1,0)</f>
        <v>0</v>
      </c>
      <c r="P698" s="81">
        <f>IF(Data!M698="CD",0,1)</f>
        <v>1</v>
      </c>
      <c r="Q698" s="81">
        <f>IF(Data!Q698&gt;Data!P698,DATEDIF(Data!P698,Data!Q698,"d"),0)</f>
        <v>0</v>
      </c>
      <c r="R698" s="81">
        <f>IF(Data!R698&gt;Data!Q698,DATEDIF(Data!Q698,Data!R698,"d"),0)</f>
        <v>0</v>
      </c>
    </row>
    <row r="699" spans="3:18" x14ac:dyDescent="0.2">
      <c r="C699" s="80">
        <f t="shared" ca="1" si="22"/>
        <v>45959</v>
      </c>
      <c r="D699" s="81">
        <f>IF(Data!I699&lt;&gt;"",DATEDIF(Data!I699,C699,"m"),0)</f>
        <v>0</v>
      </c>
      <c r="E699" s="82">
        <f t="shared" si="23"/>
        <v>0</v>
      </c>
      <c r="I699" s="81" t="str">
        <f>CONCATENATE(Data!M699,"-",Data!L699)</f>
        <v>-</v>
      </c>
      <c r="N699" s="81">
        <f>IF(Data!P699,DATEDIF(Data!O699,Data!P699,"d"),0)</f>
        <v>0</v>
      </c>
      <c r="O699" s="81">
        <f>IF(Data!M699="CD",1,0)</f>
        <v>0</v>
      </c>
      <c r="P699" s="81">
        <f>IF(Data!M699="CD",0,1)</f>
        <v>1</v>
      </c>
      <c r="Q699" s="81">
        <f>IF(Data!Q699&gt;Data!P699,DATEDIF(Data!P699,Data!Q699,"d"),0)</f>
        <v>0</v>
      </c>
      <c r="R699" s="81">
        <f>IF(Data!R699&gt;Data!Q699,DATEDIF(Data!Q699,Data!R699,"d"),0)</f>
        <v>0</v>
      </c>
    </row>
    <row r="700" spans="3:18" x14ac:dyDescent="0.2">
      <c r="C700" s="80">
        <f t="shared" ca="1" si="22"/>
        <v>45959</v>
      </c>
      <c r="D700" s="81">
        <f>IF(Data!I700&lt;&gt;"",DATEDIF(Data!I700,C700,"m"),0)</f>
        <v>0</v>
      </c>
      <c r="E700" s="82">
        <f t="shared" si="23"/>
        <v>0</v>
      </c>
      <c r="I700" s="81" t="str">
        <f>CONCATENATE(Data!M700,"-",Data!L700)</f>
        <v>-</v>
      </c>
      <c r="N700" s="81">
        <f>IF(Data!P700,DATEDIF(Data!O700,Data!P700,"d"),0)</f>
        <v>0</v>
      </c>
      <c r="O700" s="81">
        <f>IF(Data!M700="CD",1,0)</f>
        <v>0</v>
      </c>
      <c r="P700" s="81">
        <f>IF(Data!M700="CD",0,1)</f>
        <v>1</v>
      </c>
      <c r="Q700" s="81">
        <f>IF(Data!Q700&gt;Data!P700,DATEDIF(Data!P700,Data!Q700,"d"),0)</f>
        <v>0</v>
      </c>
      <c r="R700" s="81">
        <f>IF(Data!R700&gt;Data!Q700,DATEDIF(Data!Q700,Data!R700,"d"),0)</f>
        <v>0</v>
      </c>
    </row>
    <row r="701" spans="3:18" x14ac:dyDescent="0.2">
      <c r="C701" s="80">
        <f t="shared" ca="1" si="22"/>
        <v>45959</v>
      </c>
      <c r="D701" s="81">
        <f>IF(Data!I701&lt;&gt;"",DATEDIF(Data!I701,C701,"m"),0)</f>
        <v>0</v>
      </c>
      <c r="E701" s="82">
        <f t="shared" si="23"/>
        <v>0</v>
      </c>
      <c r="I701" s="81" t="str">
        <f>CONCATENATE(Data!M701,"-",Data!L701)</f>
        <v>-</v>
      </c>
      <c r="N701" s="81">
        <f>IF(Data!P701,DATEDIF(Data!O701,Data!P701,"d"),0)</f>
        <v>0</v>
      </c>
      <c r="O701" s="81">
        <f>IF(Data!M701="CD",1,0)</f>
        <v>0</v>
      </c>
      <c r="P701" s="81">
        <f>IF(Data!M701="CD",0,1)</f>
        <v>1</v>
      </c>
      <c r="Q701" s="81">
        <f>IF(Data!Q701&gt;Data!P701,DATEDIF(Data!P701,Data!Q701,"d"),0)</f>
        <v>0</v>
      </c>
      <c r="R701" s="81">
        <f>IF(Data!R701&gt;Data!Q701,DATEDIF(Data!Q701,Data!R701,"d"),0)</f>
        <v>0</v>
      </c>
    </row>
    <row r="702" spans="3:18" x14ac:dyDescent="0.2">
      <c r="C702" s="80">
        <f t="shared" ca="1" si="22"/>
        <v>45959</v>
      </c>
      <c r="D702" s="81">
        <f>IF(Data!I702&lt;&gt;"",DATEDIF(Data!I702,C702,"m"),0)</f>
        <v>0</v>
      </c>
      <c r="E702" s="82">
        <f t="shared" si="23"/>
        <v>0</v>
      </c>
      <c r="I702" s="81" t="str">
        <f>CONCATENATE(Data!M702,"-",Data!L702)</f>
        <v>-</v>
      </c>
      <c r="N702" s="81">
        <f>IF(Data!P702,DATEDIF(Data!O702,Data!P702,"d"),0)</f>
        <v>0</v>
      </c>
      <c r="O702" s="81">
        <f>IF(Data!M702="CD",1,0)</f>
        <v>0</v>
      </c>
      <c r="P702" s="81">
        <f>IF(Data!M702="CD",0,1)</f>
        <v>1</v>
      </c>
      <c r="Q702" s="81">
        <f>IF(Data!Q702&gt;Data!P702,DATEDIF(Data!P702,Data!Q702,"d"),0)</f>
        <v>0</v>
      </c>
      <c r="R702" s="81">
        <f>IF(Data!R702&gt;Data!Q702,DATEDIF(Data!Q702,Data!R702,"d"),0)</f>
        <v>0</v>
      </c>
    </row>
    <row r="703" spans="3:18" x14ac:dyDescent="0.2">
      <c r="C703" s="80">
        <f t="shared" ca="1" si="22"/>
        <v>45959</v>
      </c>
      <c r="D703" s="81">
        <f>IF(Data!I703&lt;&gt;"",DATEDIF(Data!I703,C703,"m"),0)</f>
        <v>0</v>
      </c>
      <c r="E703" s="82">
        <f t="shared" si="23"/>
        <v>0</v>
      </c>
      <c r="I703" s="81" t="str">
        <f>CONCATENATE(Data!M703,"-",Data!L703)</f>
        <v>-</v>
      </c>
      <c r="N703" s="81">
        <f>IF(Data!P703,DATEDIF(Data!O703,Data!P703,"d"),0)</f>
        <v>0</v>
      </c>
      <c r="O703" s="81">
        <f>IF(Data!M703="CD",1,0)</f>
        <v>0</v>
      </c>
      <c r="P703" s="81">
        <f>IF(Data!M703="CD",0,1)</f>
        <v>1</v>
      </c>
      <c r="Q703" s="81">
        <f>IF(Data!Q703&gt;Data!P703,DATEDIF(Data!P703,Data!Q703,"d"),0)</f>
        <v>0</v>
      </c>
      <c r="R703" s="81">
        <f>IF(Data!R703&gt;Data!Q703,DATEDIF(Data!Q703,Data!R703,"d"),0)</f>
        <v>0</v>
      </c>
    </row>
    <row r="704" spans="3:18" x14ac:dyDescent="0.2">
      <c r="C704" s="80">
        <f t="shared" ca="1" si="22"/>
        <v>45959</v>
      </c>
      <c r="D704" s="81">
        <f>IF(Data!I704&lt;&gt;"",DATEDIF(Data!I704,C704,"m"),0)</f>
        <v>0</v>
      </c>
      <c r="E704" s="82">
        <f t="shared" si="23"/>
        <v>0</v>
      </c>
      <c r="I704" s="81" t="str">
        <f>CONCATENATE(Data!M704,"-",Data!L704)</f>
        <v>-</v>
      </c>
      <c r="N704" s="81">
        <f>IF(Data!P704,DATEDIF(Data!O704,Data!P704,"d"),0)</f>
        <v>0</v>
      </c>
      <c r="O704" s="81">
        <f>IF(Data!M704="CD",1,0)</f>
        <v>0</v>
      </c>
      <c r="P704" s="81">
        <f>IF(Data!M704="CD",0,1)</f>
        <v>1</v>
      </c>
      <c r="Q704" s="81">
        <f>IF(Data!Q704&gt;Data!P704,DATEDIF(Data!P704,Data!Q704,"d"),0)</f>
        <v>0</v>
      </c>
      <c r="R704" s="81">
        <f>IF(Data!R704&gt;Data!Q704,DATEDIF(Data!Q704,Data!R704,"d"),0)</f>
        <v>0</v>
      </c>
    </row>
    <row r="705" spans="3:18" x14ac:dyDescent="0.2">
      <c r="C705" s="80">
        <f t="shared" ca="1" si="22"/>
        <v>45959</v>
      </c>
      <c r="D705" s="81">
        <f>IF(Data!I705&lt;&gt;"",DATEDIF(Data!I705,C705,"m"),0)</f>
        <v>0</v>
      </c>
      <c r="E705" s="82">
        <f t="shared" si="23"/>
        <v>0</v>
      </c>
      <c r="I705" s="81" t="str">
        <f>CONCATENATE(Data!M705,"-",Data!L705)</f>
        <v>-</v>
      </c>
      <c r="N705" s="81">
        <f>IF(Data!P705,DATEDIF(Data!O705,Data!P705,"d"),0)</f>
        <v>0</v>
      </c>
      <c r="O705" s="81">
        <f>IF(Data!M705="CD",1,0)</f>
        <v>0</v>
      </c>
      <c r="P705" s="81">
        <f>IF(Data!M705="CD",0,1)</f>
        <v>1</v>
      </c>
      <c r="Q705" s="81">
        <f>IF(Data!Q705&gt;Data!P705,DATEDIF(Data!P705,Data!Q705,"d"),0)</f>
        <v>0</v>
      </c>
      <c r="R705" s="81">
        <f>IF(Data!R705&gt;Data!Q705,DATEDIF(Data!Q705,Data!R705,"d"),0)</f>
        <v>0</v>
      </c>
    </row>
    <row r="706" spans="3:18" x14ac:dyDescent="0.2">
      <c r="C706" s="80">
        <f t="shared" ref="C706:C769" ca="1" si="24">TODAY()</f>
        <v>45959</v>
      </c>
      <c r="D706" s="81">
        <f>IF(Data!I706&lt;&gt;"",DATEDIF(Data!I706,C706,"m"),0)</f>
        <v>0</v>
      </c>
      <c r="E706" s="82">
        <f t="shared" si="23"/>
        <v>0</v>
      </c>
      <c r="I706" s="81" t="str">
        <f>CONCATENATE(Data!M706,"-",Data!L706)</f>
        <v>-</v>
      </c>
      <c r="N706" s="81">
        <f>IF(Data!P706,DATEDIF(Data!O706,Data!P706,"d"),0)</f>
        <v>0</v>
      </c>
      <c r="O706" s="81">
        <f>IF(Data!M706="CD",1,0)</f>
        <v>0</v>
      </c>
      <c r="P706" s="81">
        <f>IF(Data!M706="CD",0,1)</f>
        <v>1</v>
      </c>
      <c r="Q706" s="81">
        <f>IF(Data!Q706&gt;Data!P706,DATEDIF(Data!P706,Data!Q706,"d"),0)</f>
        <v>0</v>
      </c>
      <c r="R706" s="81">
        <f>IF(Data!R706&gt;Data!Q706,DATEDIF(Data!Q706,Data!R706,"d"),0)</f>
        <v>0</v>
      </c>
    </row>
    <row r="707" spans="3:18" x14ac:dyDescent="0.2">
      <c r="C707" s="80">
        <f t="shared" ca="1" si="24"/>
        <v>45959</v>
      </c>
      <c r="D707" s="81">
        <f>IF(Data!I707&lt;&gt;"",DATEDIF(Data!I707,C707,"m"),0)</f>
        <v>0</v>
      </c>
      <c r="E707" s="82">
        <f t="shared" ref="E707:E770" si="25">D707/12</f>
        <v>0</v>
      </c>
      <c r="I707" s="81" t="str">
        <f>CONCATENATE(Data!M707,"-",Data!L707)</f>
        <v>-</v>
      </c>
      <c r="N707" s="81">
        <f>IF(Data!P707,DATEDIF(Data!O707,Data!P707,"d"),0)</f>
        <v>0</v>
      </c>
      <c r="O707" s="81">
        <f>IF(Data!M707="CD",1,0)</f>
        <v>0</v>
      </c>
      <c r="P707" s="81">
        <f>IF(Data!M707="CD",0,1)</f>
        <v>1</v>
      </c>
      <c r="Q707" s="81">
        <f>IF(Data!Q707&gt;Data!P707,DATEDIF(Data!P707,Data!Q707,"d"),0)</f>
        <v>0</v>
      </c>
      <c r="R707" s="81">
        <f>IF(Data!R707&gt;Data!Q707,DATEDIF(Data!Q707,Data!R707,"d"),0)</f>
        <v>0</v>
      </c>
    </row>
    <row r="708" spans="3:18" x14ac:dyDescent="0.2">
      <c r="C708" s="80">
        <f t="shared" ca="1" si="24"/>
        <v>45959</v>
      </c>
      <c r="D708" s="81">
        <f>IF(Data!I708&lt;&gt;"",DATEDIF(Data!I708,C708,"m"),0)</f>
        <v>0</v>
      </c>
      <c r="E708" s="82">
        <f t="shared" si="25"/>
        <v>0</v>
      </c>
      <c r="I708" s="81" t="str">
        <f>CONCATENATE(Data!M708,"-",Data!L708)</f>
        <v>-</v>
      </c>
      <c r="N708" s="81">
        <f>IF(Data!P708,DATEDIF(Data!O708,Data!P708,"d"),0)</f>
        <v>0</v>
      </c>
      <c r="O708" s="81">
        <f>IF(Data!M708="CD",1,0)</f>
        <v>0</v>
      </c>
      <c r="P708" s="81">
        <f>IF(Data!M708="CD",0,1)</f>
        <v>1</v>
      </c>
      <c r="Q708" s="81">
        <f>IF(Data!Q708&gt;Data!P708,DATEDIF(Data!P708,Data!Q708,"d"),0)</f>
        <v>0</v>
      </c>
      <c r="R708" s="81">
        <f>IF(Data!R708&gt;Data!Q708,DATEDIF(Data!Q708,Data!R708,"d"),0)</f>
        <v>0</v>
      </c>
    </row>
    <row r="709" spans="3:18" x14ac:dyDescent="0.2">
      <c r="C709" s="80">
        <f t="shared" ca="1" si="24"/>
        <v>45959</v>
      </c>
      <c r="D709" s="81">
        <f>IF(Data!I709&lt;&gt;"",DATEDIF(Data!I709,C709,"m"),0)</f>
        <v>0</v>
      </c>
      <c r="E709" s="82">
        <f t="shared" si="25"/>
        <v>0</v>
      </c>
      <c r="I709" s="81" t="str">
        <f>CONCATENATE(Data!M709,"-",Data!L709)</f>
        <v>-</v>
      </c>
      <c r="N709" s="81">
        <f>IF(Data!P709,DATEDIF(Data!O709,Data!P709,"d"),0)</f>
        <v>0</v>
      </c>
      <c r="O709" s="81">
        <f>IF(Data!M709="CD",1,0)</f>
        <v>0</v>
      </c>
      <c r="P709" s="81">
        <f>IF(Data!M709="CD",0,1)</f>
        <v>1</v>
      </c>
      <c r="Q709" s="81">
        <f>IF(Data!Q709&gt;Data!P709,DATEDIF(Data!P709,Data!Q709,"d"),0)</f>
        <v>0</v>
      </c>
      <c r="R709" s="81">
        <f>IF(Data!R709&gt;Data!Q709,DATEDIF(Data!Q709,Data!R709,"d"),0)</f>
        <v>0</v>
      </c>
    </row>
    <row r="710" spans="3:18" x14ac:dyDescent="0.2">
      <c r="C710" s="80">
        <f t="shared" ca="1" si="24"/>
        <v>45959</v>
      </c>
      <c r="D710" s="81">
        <f>IF(Data!I710&lt;&gt;"",DATEDIF(Data!I710,C710,"m"),0)</f>
        <v>0</v>
      </c>
      <c r="E710" s="82">
        <f t="shared" si="25"/>
        <v>0</v>
      </c>
      <c r="I710" s="81" t="str">
        <f>CONCATENATE(Data!M710,"-",Data!L710)</f>
        <v>-</v>
      </c>
      <c r="N710" s="81">
        <f>IF(Data!P710,DATEDIF(Data!O710,Data!P710,"d"),0)</f>
        <v>0</v>
      </c>
      <c r="O710" s="81">
        <f>IF(Data!M710="CD",1,0)</f>
        <v>0</v>
      </c>
      <c r="P710" s="81">
        <f>IF(Data!M710="CD",0,1)</f>
        <v>1</v>
      </c>
      <c r="Q710" s="81">
        <f>IF(Data!Q710&gt;Data!P710,DATEDIF(Data!P710,Data!Q710,"d"),0)</f>
        <v>0</v>
      </c>
      <c r="R710" s="81">
        <f>IF(Data!R710&gt;Data!Q710,DATEDIF(Data!Q710,Data!R710,"d"),0)</f>
        <v>0</v>
      </c>
    </row>
    <row r="711" spans="3:18" x14ac:dyDescent="0.2">
      <c r="C711" s="80">
        <f t="shared" ca="1" si="24"/>
        <v>45959</v>
      </c>
      <c r="D711" s="81">
        <f>IF(Data!I711&lt;&gt;"",DATEDIF(Data!I711,C711,"m"),0)</f>
        <v>0</v>
      </c>
      <c r="E711" s="82">
        <f t="shared" si="25"/>
        <v>0</v>
      </c>
      <c r="I711" s="81" t="str">
        <f>CONCATENATE(Data!M711,"-",Data!L711)</f>
        <v>-</v>
      </c>
      <c r="N711" s="81">
        <f>IF(Data!P711,DATEDIF(Data!O711,Data!P711,"d"),0)</f>
        <v>0</v>
      </c>
      <c r="O711" s="81">
        <f>IF(Data!M711="CD",1,0)</f>
        <v>0</v>
      </c>
      <c r="P711" s="81">
        <f>IF(Data!M711="CD",0,1)</f>
        <v>1</v>
      </c>
      <c r="Q711" s="81">
        <f>IF(Data!Q711&gt;Data!P711,DATEDIF(Data!P711,Data!Q711,"d"),0)</f>
        <v>0</v>
      </c>
      <c r="R711" s="81">
        <f>IF(Data!R711&gt;Data!Q711,DATEDIF(Data!Q711,Data!R711,"d"),0)</f>
        <v>0</v>
      </c>
    </row>
    <row r="712" spans="3:18" x14ac:dyDescent="0.2">
      <c r="C712" s="80">
        <f t="shared" ca="1" si="24"/>
        <v>45959</v>
      </c>
      <c r="D712" s="81">
        <f>IF(Data!I712&lt;&gt;"",DATEDIF(Data!I712,C712,"m"),0)</f>
        <v>0</v>
      </c>
      <c r="E712" s="82">
        <f t="shared" si="25"/>
        <v>0</v>
      </c>
      <c r="I712" s="81" t="str">
        <f>CONCATENATE(Data!M712,"-",Data!L712)</f>
        <v>-</v>
      </c>
      <c r="N712" s="81">
        <f>IF(Data!P712,DATEDIF(Data!O712,Data!P712,"d"),0)</f>
        <v>0</v>
      </c>
      <c r="O712" s="81">
        <f>IF(Data!M712="CD",1,0)</f>
        <v>0</v>
      </c>
      <c r="P712" s="81">
        <f>IF(Data!M712="CD",0,1)</f>
        <v>1</v>
      </c>
      <c r="Q712" s="81">
        <f>IF(Data!Q712&gt;Data!P712,DATEDIF(Data!P712,Data!Q712,"d"),0)</f>
        <v>0</v>
      </c>
      <c r="R712" s="81">
        <f>IF(Data!R712&gt;Data!Q712,DATEDIF(Data!Q712,Data!R712,"d"),0)</f>
        <v>0</v>
      </c>
    </row>
    <row r="713" spans="3:18" x14ac:dyDescent="0.2">
      <c r="C713" s="80">
        <f t="shared" ca="1" si="24"/>
        <v>45959</v>
      </c>
      <c r="D713" s="81">
        <f>IF(Data!I713&lt;&gt;"",DATEDIF(Data!I713,C713,"m"),0)</f>
        <v>0</v>
      </c>
      <c r="E713" s="82">
        <f t="shared" si="25"/>
        <v>0</v>
      </c>
      <c r="I713" s="81" t="str">
        <f>CONCATENATE(Data!M713,"-",Data!L713)</f>
        <v>-</v>
      </c>
      <c r="N713" s="81">
        <f>IF(Data!P713,DATEDIF(Data!O713,Data!P713,"d"),0)</f>
        <v>0</v>
      </c>
      <c r="O713" s="81">
        <f>IF(Data!M713="CD",1,0)</f>
        <v>0</v>
      </c>
      <c r="P713" s="81">
        <f>IF(Data!M713="CD",0,1)</f>
        <v>1</v>
      </c>
      <c r="Q713" s="81">
        <f>IF(Data!Q713&gt;Data!P713,DATEDIF(Data!P713,Data!Q713,"d"),0)</f>
        <v>0</v>
      </c>
      <c r="R713" s="81">
        <f>IF(Data!R713&gt;Data!Q713,DATEDIF(Data!Q713,Data!R713,"d"),0)</f>
        <v>0</v>
      </c>
    </row>
    <row r="714" spans="3:18" x14ac:dyDescent="0.2">
      <c r="C714" s="80">
        <f t="shared" ca="1" si="24"/>
        <v>45959</v>
      </c>
      <c r="D714" s="81">
        <f>IF(Data!I714&lt;&gt;"",DATEDIF(Data!I714,C714,"m"),0)</f>
        <v>0</v>
      </c>
      <c r="E714" s="82">
        <f t="shared" si="25"/>
        <v>0</v>
      </c>
      <c r="I714" s="81" t="str">
        <f>CONCATENATE(Data!M714,"-",Data!L714)</f>
        <v>-</v>
      </c>
      <c r="N714" s="81">
        <f>IF(Data!P714,DATEDIF(Data!O714,Data!P714,"d"),0)</f>
        <v>0</v>
      </c>
      <c r="O714" s="81">
        <f>IF(Data!M714="CD",1,0)</f>
        <v>0</v>
      </c>
      <c r="P714" s="81">
        <f>IF(Data!M714="CD",0,1)</f>
        <v>1</v>
      </c>
      <c r="Q714" s="81">
        <f>IF(Data!Q714&gt;Data!P714,DATEDIF(Data!P714,Data!Q714,"d"),0)</f>
        <v>0</v>
      </c>
      <c r="R714" s="81">
        <f>IF(Data!R714&gt;Data!Q714,DATEDIF(Data!Q714,Data!R714,"d"),0)</f>
        <v>0</v>
      </c>
    </row>
    <row r="715" spans="3:18" x14ac:dyDescent="0.2">
      <c r="C715" s="80">
        <f t="shared" ca="1" si="24"/>
        <v>45959</v>
      </c>
      <c r="D715" s="81">
        <f>IF(Data!I715&lt;&gt;"",DATEDIF(Data!I715,C715,"m"),0)</f>
        <v>0</v>
      </c>
      <c r="E715" s="82">
        <f t="shared" si="25"/>
        <v>0</v>
      </c>
      <c r="I715" s="81" t="str">
        <f>CONCATENATE(Data!M715,"-",Data!L715)</f>
        <v>-</v>
      </c>
      <c r="N715" s="81">
        <f>IF(Data!P715,DATEDIF(Data!O715,Data!P715,"d"),0)</f>
        <v>0</v>
      </c>
      <c r="O715" s="81">
        <f>IF(Data!M715="CD",1,0)</f>
        <v>0</v>
      </c>
      <c r="P715" s="81">
        <f>IF(Data!M715="CD",0,1)</f>
        <v>1</v>
      </c>
      <c r="Q715" s="81">
        <f>IF(Data!Q715&gt;Data!P715,DATEDIF(Data!P715,Data!Q715,"d"),0)</f>
        <v>0</v>
      </c>
      <c r="R715" s="81">
        <f>IF(Data!R715&gt;Data!Q715,DATEDIF(Data!Q715,Data!R715,"d"),0)</f>
        <v>0</v>
      </c>
    </row>
    <row r="716" spans="3:18" x14ac:dyDescent="0.2">
      <c r="C716" s="80">
        <f t="shared" ca="1" si="24"/>
        <v>45959</v>
      </c>
      <c r="D716" s="81">
        <f>IF(Data!I716&lt;&gt;"",DATEDIF(Data!I716,C716,"m"),0)</f>
        <v>0</v>
      </c>
      <c r="E716" s="82">
        <f t="shared" si="25"/>
        <v>0</v>
      </c>
      <c r="I716" s="81" t="str">
        <f>CONCATENATE(Data!M716,"-",Data!L716)</f>
        <v>-</v>
      </c>
      <c r="N716" s="81">
        <f>IF(Data!P716,DATEDIF(Data!O716,Data!P716,"d"),0)</f>
        <v>0</v>
      </c>
      <c r="O716" s="81">
        <f>IF(Data!M716="CD",1,0)</f>
        <v>0</v>
      </c>
      <c r="P716" s="81">
        <f>IF(Data!M716="CD",0,1)</f>
        <v>1</v>
      </c>
      <c r="Q716" s="81">
        <f>IF(Data!Q716&gt;Data!P716,DATEDIF(Data!P716,Data!Q716,"d"),0)</f>
        <v>0</v>
      </c>
      <c r="R716" s="81">
        <f>IF(Data!R716&gt;Data!Q716,DATEDIF(Data!Q716,Data!R716,"d"),0)</f>
        <v>0</v>
      </c>
    </row>
    <row r="717" spans="3:18" x14ac:dyDescent="0.2">
      <c r="C717" s="80">
        <f t="shared" ca="1" si="24"/>
        <v>45959</v>
      </c>
      <c r="D717" s="81">
        <f>IF(Data!I717&lt;&gt;"",DATEDIF(Data!I717,C717,"m"),0)</f>
        <v>0</v>
      </c>
      <c r="E717" s="82">
        <f t="shared" si="25"/>
        <v>0</v>
      </c>
      <c r="I717" s="81" t="str">
        <f>CONCATENATE(Data!M717,"-",Data!L717)</f>
        <v>-</v>
      </c>
      <c r="N717" s="81">
        <f>IF(Data!P717,DATEDIF(Data!O717,Data!P717,"d"),0)</f>
        <v>0</v>
      </c>
      <c r="O717" s="81">
        <f>IF(Data!M717="CD",1,0)</f>
        <v>0</v>
      </c>
      <c r="P717" s="81">
        <f>IF(Data!M717="CD",0,1)</f>
        <v>1</v>
      </c>
      <c r="Q717" s="81">
        <f>IF(Data!Q717&gt;Data!P717,DATEDIF(Data!P717,Data!Q717,"d"),0)</f>
        <v>0</v>
      </c>
      <c r="R717" s="81">
        <f>IF(Data!R717&gt;Data!Q717,DATEDIF(Data!Q717,Data!R717,"d"),0)</f>
        <v>0</v>
      </c>
    </row>
    <row r="718" spans="3:18" x14ac:dyDescent="0.2">
      <c r="C718" s="80">
        <f t="shared" ca="1" si="24"/>
        <v>45959</v>
      </c>
      <c r="D718" s="81">
        <f>IF(Data!I718&lt;&gt;"",DATEDIF(Data!I718,C718,"m"),0)</f>
        <v>0</v>
      </c>
      <c r="E718" s="82">
        <f t="shared" si="25"/>
        <v>0</v>
      </c>
      <c r="I718" s="81" t="str">
        <f>CONCATENATE(Data!M718,"-",Data!L718)</f>
        <v>-</v>
      </c>
      <c r="N718" s="81">
        <f>IF(Data!P718,DATEDIF(Data!O718,Data!P718,"d"),0)</f>
        <v>0</v>
      </c>
      <c r="O718" s="81">
        <f>IF(Data!M718="CD",1,0)</f>
        <v>0</v>
      </c>
      <c r="P718" s="81">
        <f>IF(Data!M718="CD",0,1)</f>
        <v>1</v>
      </c>
      <c r="Q718" s="81">
        <f>IF(Data!Q718&gt;Data!P718,DATEDIF(Data!P718,Data!Q718,"d"),0)</f>
        <v>0</v>
      </c>
      <c r="R718" s="81">
        <f>IF(Data!R718&gt;Data!Q718,DATEDIF(Data!Q718,Data!R718,"d"),0)</f>
        <v>0</v>
      </c>
    </row>
    <row r="719" spans="3:18" x14ac:dyDescent="0.2">
      <c r="C719" s="80">
        <f t="shared" ca="1" si="24"/>
        <v>45959</v>
      </c>
      <c r="D719" s="81">
        <f>IF(Data!I719&lt;&gt;"",DATEDIF(Data!I719,C719,"m"),0)</f>
        <v>0</v>
      </c>
      <c r="E719" s="82">
        <f t="shared" si="25"/>
        <v>0</v>
      </c>
      <c r="I719" s="81" t="str">
        <f>CONCATENATE(Data!M719,"-",Data!L719)</f>
        <v>-</v>
      </c>
      <c r="N719" s="81">
        <f>IF(Data!P719,DATEDIF(Data!O719,Data!P719,"d"),0)</f>
        <v>0</v>
      </c>
      <c r="O719" s="81">
        <f>IF(Data!M719="CD",1,0)</f>
        <v>0</v>
      </c>
      <c r="P719" s="81">
        <f>IF(Data!M719="CD",0,1)</f>
        <v>1</v>
      </c>
      <c r="Q719" s="81">
        <f>IF(Data!Q719&gt;Data!P719,DATEDIF(Data!P719,Data!Q719,"d"),0)</f>
        <v>0</v>
      </c>
      <c r="R719" s="81">
        <f>IF(Data!R719&gt;Data!Q719,DATEDIF(Data!Q719,Data!R719,"d"),0)</f>
        <v>0</v>
      </c>
    </row>
    <row r="720" spans="3:18" x14ac:dyDescent="0.2">
      <c r="C720" s="80">
        <f t="shared" ca="1" si="24"/>
        <v>45959</v>
      </c>
      <c r="D720" s="81">
        <f>IF(Data!I720&lt;&gt;"",DATEDIF(Data!I720,C720,"m"),0)</f>
        <v>0</v>
      </c>
      <c r="E720" s="82">
        <f t="shared" si="25"/>
        <v>0</v>
      </c>
      <c r="I720" s="81" t="str">
        <f>CONCATENATE(Data!M720,"-",Data!L720)</f>
        <v>-</v>
      </c>
      <c r="N720" s="81">
        <f>IF(Data!P720,DATEDIF(Data!O720,Data!P720,"d"),0)</f>
        <v>0</v>
      </c>
      <c r="O720" s="81">
        <f>IF(Data!M720="CD",1,0)</f>
        <v>0</v>
      </c>
      <c r="P720" s="81">
        <f>IF(Data!M720="CD",0,1)</f>
        <v>1</v>
      </c>
      <c r="Q720" s="81">
        <f>IF(Data!Q720&gt;Data!P720,DATEDIF(Data!P720,Data!Q720,"d"),0)</f>
        <v>0</v>
      </c>
      <c r="R720" s="81">
        <f>IF(Data!R720&gt;Data!Q720,DATEDIF(Data!Q720,Data!R720,"d"),0)</f>
        <v>0</v>
      </c>
    </row>
    <row r="721" spans="3:18" x14ac:dyDescent="0.2">
      <c r="C721" s="80">
        <f t="shared" ca="1" si="24"/>
        <v>45959</v>
      </c>
      <c r="D721" s="81">
        <f>IF(Data!I721&lt;&gt;"",DATEDIF(Data!I721,C721,"m"),0)</f>
        <v>0</v>
      </c>
      <c r="E721" s="82">
        <f t="shared" si="25"/>
        <v>0</v>
      </c>
      <c r="I721" s="81" t="str">
        <f>CONCATENATE(Data!M721,"-",Data!L721)</f>
        <v>-</v>
      </c>
      <c r="N721" s="81">
        <f>IF(Data!P721,DATEDIF(Data!O721,Data!P721,"d"),0)</f>
        <v>0</v>
      </c>
      <c r="O721" s="81">
        <f>IF(Data!M721="CD",1,0)</f>
        <v>0</v>
      </c>
      <c r="P721" s="81">
        <f>IF(Data!M721="CD",0,1)</f>
        <v>1</v>
      </c>
      <c r="Q721" s="81">
        <f>IF(Data!Q721&gt;Data!P721,DATEDIF(Data!P721,Data!Q721,"d"),0)</f>
        <v>0</v>
      </c>
      <c r="R721" s="81">
        <f>IF(Data!R721&gt;Data!Q721,DATEDIF(Data!Q721,Data!R721,"d"),0)</f>
        <v>0</v>
      </c>
    </row>
    <row r="722" spans="3:18" x14ac:dyDescent="0.2">
      <c r="C722" s="80">
        <f t="shared" ca="1" si="24"/>
        <v>45959</v>
      </c>
      <c r="D722" s="81">
        <f>IF(Data!I722&lt;&gt;"",DATEDIF(Data!I722,C722,"m"),0)</f>
        <v>0</v>
      </c>
      <c r="E722" s="82">
        <f t="shared" si="25"/>
        <v>0</v>
      </c>
      <c r="I722" s="81" t="str">
        <f>CONCATENATE(Data!M722,"-",Data!L722)</f>
        <v>-</v>
      </c>
      <c r="N722" s="81">
        <f>IF(Data!P722,DATEDIF(Data!O722,Data!P722,"d"),0)</f>
        <v>0</v>
      </c>
      <c r="O722" s="81">
        <f>IF(Data!M722="CD",1,0)</f>
        <v>0</v>
      </c>
      <c r="P722" s="81">
        <f>IF(Data!M722="CD",0,1)</f>
        <v>1</v>
      </c>
      <c r="Q722" s="81">
        <f>IF(Data!Q722&gt;Data!P722,DATEDIF(Data!P722,Data!Q722,"d"),0)</f>
        <v>0</v>
      </c>
      <c r="R722" s="81">
        <f>IF(Data!R722&gt;Data!Q722,DATEDIF(Data!Q722,Data!R722,"d"),0)</f>
        <v>0</v>
      </c>
    </row>
    <row r="723" spans="3:18" x14ac:dyDescent="0.2">
      <c r="C723" s="80">
        <f t="shared" ca="1" si="24"/>
        <v>45959</v>
      </c>
      <c r="D723" s="81">
        <f>IF(Data!I723&lt;&gt;"",DATEDIF(Data!I723,C723,"m"),0)</f>
        <v>0</v>
      </c>
      <c r="E723" s="82">
        <f t="shared" si="25"/>
        <v>0</v>
      </c>
      <c r="I723" s="81" t="str">
        <f>CONCATENATE(Data!M723,"-",Data!L723)</f>
        <v>-</v>
      </c>
      <c r="N723" s="81">
        <f>IF(Data!P723,DATEDIF(Data!O723,Data!P723,"d"),0)</f>
        <v>0</v>
      </c>
      <c r="O723" s="81">
        <f>IF(Data!M723="CD",1,0)</f>
        <v>0</v>
      </c>
      <c r="P723" s="81">
        <f>IF(Data!M723="CD",0,1)</f>
        <v>1</v>
      </c>
      <c r="Q723" s="81">
        <f>IF(Data!Q723&gt;Data!P723,DATEDIF(Data!P723,Data!Q723,"d"),0)</f>
        <v>0</v>
      </c>
      <c r="R723" s="81">
        <f>IF(Data!R723&gt;Data!Q723,DATEDIF(Data!Q723,Data!R723,"d"),0)</f>
        <v>0</v>
      </c>
    </row>
    <row r="724" spans="3:18" x14ac:dyDescent="0.2">
      <c r="C724" s="80">
        <f t="shared" ca="1" si="24"/>
        <v>45959</v>
      </c>
      <c r="D724" s="81">
        <f>IF(Data!I724&lt;&gt;"",DATEDIF(Data!I724,C724,"m"),0)</f>
        <v>0</v>
      </c>
      <c r="E724" s="82">
        <f t="shared" si="25"/>
        <v>0</v>
      </c>
      <c r="I724" s="81" t="str">
        <f>CONCATENATE(Data!M724,"-",Data!L724)</f>
        <v>-</v>
      </c>
      <c r="N724" s="81">
        <f>IF(Data!P724,DATEDIF(Data!O724,Data!P724,"d"),0)</f>
        <v>0</v>
      </c>
      <c r="O724" s="81">
        <f>IF(Data!M724="CD",1,0)</f>
        <v>0</v>
      </c>
      <c r="P724" s="81">
        <f>IF(Data!M724="CD",0,1)</f>
        <v>1</v>
      </c>
      <c r="Q724" s="81">
        <f>IF(Data!Q724&gt;Data!P724,DATEDIF(Data!P724,Data!Q724,"d"),0)</f>
        <v>0</v>
      </c>
      <c r="R724" s="81">
        <f>IF(Data!R724&gt;Data!Q724,DATEDIF(Data!Q724,Data!R724,"d"),0)</f>
        <v>0</v>
      </c>
    </row>
    <row r="725" spans="3:18" x14ac:dyDescent="0.2">
      <c r="C725" s="80">
        <f t="shared" ca="1" si="24"/>
        <v>45959</v>
      </c>
      <c r="D725" s="81">
        <f>IF(Data!I725&lt;&gt;"",DATEDIF(Data!I725,C725,"m"),0)</f>
        <v>0</v>
      </c>
      <c r="E725" s="82">
        <f t="shared" si="25"/>
        <v>0</v>
      </c>
      <c r="I725" s="81" t="str">
        <f>CONCATENATE(Data!M725,"-",Data!L725)</f>
        <v>-</v>
      </c>
      <c r="N725" s="81">
        <f>IF(Data!P725,DATEDIF(Data!O725,Data!P725,"d"),0)</f>
        <v>0</v>
      </c>
      <c r="O725" s="81">
        <f>IF(Data!M725="CD",1,0)</f>
        <v>0</v>
      </c>
      <c r="P725" s="81">
        <f>IF(Data!M725="CD",0,1)</f>
        <v>1</v>
      </c>
      <c r="Q725" s="81">
        <f>IF(Data!Q725&gt;Data!P725,DATEDIF(Data!P725,Data!Q725,"d"),0)</f>
        <v>0</v>
      </c>
      <c r="R725" s="81">
        <f>IF(Data!R725&gt;Data!Q725,DATEDIF(Data!Q725,Data!R725,"d"),0)</f>
        <v>0</v>
      </c>
    </row>
    <row r="726" spans="3:18" x14ac:dyDescent="0.2">
      <c r="C726" s="80">
        <f t="shared" ca="1" si="24"/>
        <v>45959</v>
      </c>
      <c r="D726" s="81">
        <f>IF(Data!I726&lt;&gt;"",DATEDIF(Data!I726,C726,"m"),0)</f>
        <v>0</v>
      </c>
      <c r="E726" s="82">
        <f t="shared" si="25"/>
        <v>0</v>
      </c>
      <c r="I726" s="81" t="str">
        <f>CONCATENATE(Data!M726,"-",Data!L726)</f>
        <v>-</v>
      </c>
      <c r="N726" s="81">
        <f>IF(Data!P726,DATEDIF(Data!O726,Data!P726,"d"),0)</f>
        <v>0</v>
      </c>
      <c r="O726" s="81">
        <f>IF(Data!M726="CD",1,0)</f>
        <v>0</v>
      </c>
      <c r="P726" s="81">
        <f>IF(Data!M726="CD",0,1)</f>
        <v>1</v>
      </c>
      <c r="Q726" s="81">
        <f>IF(Data!Q726&gt;Data!P726,DATEDIF(Data!P726,Data!Q726,"d"),0)</f>
        <v>0</v>
      </c>
      <c r="R726" s="81">
        <f>IF(Data!R726&gt;Data!Q726,DATEDIF(Data!Q726,Data!R726,"d"),0)</f>
        <v>0</v>
      </c>
    </row>
    <row r="727" spans="3:18" x14ac:dyDescent="0.2">
      <c r="C727" s="80">
        <f t="shared" ca="1" si="24"/>
        <v>45959</v>
      </c>
      <c r="D727" s="81">
        <f>IF(Data!I727&lt;&gt;"",DATEDIF(Data!I727,C727,"m"),0)</f>
        <v>0</v>
      </c>
      <c r="E727" s="82">
        <f t="shared" si="25"/>
        <v>0</v>
      </c>
      <c r="I727" s="81" t="str">
        <f>CONCATENATE(Data!M727,"-",Data!L727)</f>
        <v>-</v>
      </c>
      <c r="N727" s="81">
        <f>IF(Data!P727,DATEDIF(Data!O727,Data!P727,"d"),0)</f>
        <v>0</v>
      </c>
      <c r="O727" s="81">
        <f>IF(Data!M727="CD",1,0)</f>
        <v>0</v>
      </c>
      <c r="P727" s="81">
        <f>IF(Data!M727="CD",0,1)</f>
        <v>1</v>
      </c>
      <c r="Q727" s="81">
        <f>IF(Data!Q727&gt;Data!P727,DATEDIF(Data!P727,Data!Q727,"d"),0)</f>
        <v>0</v>
      </c>
      <c r="R727" s="81">
        <f>IF(Data!R727&gt;Data!Q727,DATEDIF(Data!Q727,Data!R727,"d"),0)</f>
        <v>0</v>
      </c>
    </row>
    <row r="728" spans="3:18" x14ac:dyDescent="0.2">
      <c r="C728" s="80">
        <f t="shared" ca="1" si="24"/>
        <v>45959</v>
      </c>
      <c r="D728" s="81">
        <f>IF(Data!I728&lt;&gt;"",DATEDIF(Data!I728,C728,"m"),0)</f>
        <v>0</v>
      </c>
      <c r="E728" s="82">
        <f t="shared" si="25"/>
        <v>0</v>
      </c>
      <c r="I728" s="81" t="str">
        <f>CONCATENATE(Data!M728,"-",Data!L728)</f>
        <v>-</v>
      </c>
      <c r="N728" s="81">
        <f>IF(Data!P728,DATEDIF(Data!O728,Data!P728,"d"),0)</f>
        <v>0</v>
      </c>
      <c r="O728" s="81">
        <f>IF(Data!M728="CD",1,0)</f>
        <v>0</v>
      </c>
      <c r="P728" s="81">
        <f>IF(Data!M728="CD",0,1)</f>
        <v>1</v>
      </c>
      <c r="Q728" s="81">
        <f>IF(Data!Q728&gt;Data!P728,DATEDIF(Data!P728,Data!Q728,"d"),0)</f>
        <v>0</v>
      </c>
      <c r="R728" s="81">
        <f>IF(Data!R728&gt;Data!Q728,DATEDIF(Data!Q728,Data!R728,"d"),0)</f>
        <v>0</v>
      </c>
    </row>
    <row r="729" spans="3:18" x14ac:dyDescent="0.2">
      <c r="C729" s="80">
        <f t="shared" ca="1" si="24"/>
        <v>45959</v>
      </c>
      <c r="D729" s="81">
        <f>IF(Data!I729&lt;&gt;"",DATEDIF(Data!I729,C729,"m"),0)</f>
        <v>0</v>
      </c>
      <c r="E729" s="82">
        <f t="shared" si="25"/>
        <v>0</v>
      </c>
      <c r="I729" s="81" t="str">
        <f>CONCATENATE(Data!M729,"-",Data!L729)</f>
        <v>-</v>
      </c>
      <c r="N729" s="81">
        <f>IF(Data!P729,DATEDIF(Data!O729,Data!P729,"d"),0)</f>
        <v>0</v>
      </c>
      <c r="O729" s="81">
        <f>IF(Data!M729="CD",1,0)</f>
        <v>0</v>
      </c>
      <c r="P729" s="81">
        <f>IF(Data!M729="CD",0,1)</f>
        <v>1</v>
      </c>
      <c r="Q729" s="81">
        <f>IF(Data!Q729&gt;Data!P729,DATEDIF(Data!P729,Data!Q729,"d"),0)</f>
        <v>0</v>
      </c>
      <c r="R729" s="81">
        <f>IF(Data!R729&gt;Data!Q729,DATEDIF(Data!Q729,Data!R729,"d"),0)</f>
        <v>0</v>
      </c>
    </row>
    <row r="730" spans="3:18" x14ac:dyDescent="0.2">
      <c r="C730" s="80">
        <f t="shared" ca="1" si="24"/>
        <v>45959</v>
      </c>
      <c r="D730" s="81">
        <f>IF(Data!I730&lt;&gt;"",DATEDIF(Data!I730,C730,"m"),0)</f>
        <v>0</v>
      </c>
      <c r="E730" s="82">
        <f t="shared" si="25"/>
        <v>0</v>
      </c>
      <c r="I730" s="81" t="str">
        <f>CONCATENATE(Data!M730,"-",Data!L730)</f>
        <v>-</v>
      </c>
      <c r="N730" s="81">
        <f>IF(Data!P730,DATEDIF(Data!O730,Data!P730,"d"),0)</f>
        <v>0</v>
      </c>
      <c r="O730" s="81">
        <f>IF(Data!M730="CD",1,0)</f>
        <v>0</v>
      </c>
      <c r="P730" s="81">
        <f>IF(Data!M730="CD",0,1)</f>
        <v>1</v>
      </c>
      <c r="Q730" s="81">
        <f>IF(Data!Q730&gt;Data!P730,DATEDIF(Data!P730,Data!Q730,"d"),0)</f>
        <v>0</v>
      </c>
      <c r="R730" s="81">
        <f>IF(Data!R730&gt;Data!Q730,DATEDIF(Data!Q730,Data!R730,"d"),0)</f>
        <v>0</v>
      </c>
    </row>
    <row r="731" spans="3:18" x14ac:dyDescent="0.2">
      <c r="C731" s="80">
        <f t="shared" ca="1" si="24"/>
        <v>45959</v>
      </c>
      <c r="D731" s="81">
        <f>IF(Data!I731&lt;&gt;"",DATEDIF(Data!I731,C731,"m"),0)</f>
        <v>0</v>
      </c>
      <c r="E731" s="82">
        <f t="shared" si="25"/>
        <v>0</v>
      </c>
      <c r="I731" s="81" t="str">
        <f>CONCATENATE(Data!M731,"-",Data!L731)</f>
        <v>-</v>
      </c>
      <c r="N731" s="81">
        <f>IF(Data!P731,DATEDIF(Data!O731,Data!P731,"d"),0)</f>
        <v>0</v>
      </c>
      <c r="O731" s="81">
        <f>IF(Data!M731="CD",1,0)</f>
        <v>0</v>
      </c>
      <c r="P731" s="81">
        <f>IF(Data!M731="CD",0,1)</f>
        <v>1</v>
      </c>
      <c r="Q731" s="81">
        <f>IF(Data!Q731&gt;Data!P731,DATEDIF(Data!P731,Data!Q731,"d"),0)</f>
        <v>0</v>
      </c>
      <c r="R731" s="81">
        <f>IF(Data!R731&gt;Data!Q731,DATEDIF(Data!Q731,Data!R731,"d"),0)</f>
        <v>0</v>
      </c>
    </row>
    <row r="732" spans="3:18" x14ac:dyDescent="0.2">
      <c r="C732" s="80">
        <f t="shared" ca="1" si="24"/>
        <v>45959</v>
      </c>
      <c r="D732" s="81">
        <f>IF(Data!I732&lt;&gt;"",DATEDIF(Data!I732,C732,"m"),0)</f>
        <v>0</v>
      </c>
      <c r="E732" s="82">
        <f t="shared" si="25"/>
        <v>0</v>
      </c>
      <c r="I732" s="81" t="str">
        <f>CONCATENATE(Data!M732,"-",Data!L732)</f>
        <v>-</v>
      </c>
      <c r="N732" s="81">
        <f>IF(Data!P732,DATEDIF(Data!O732,Data!P732,"d"),0)</f>
        <v>0</v>
      </c>
      <c r="O732" s="81">
        <f>IF(Data!M732="CD",1,0)</f>
        <v>0</v>
      </c>
      <c r="P732" s="81">
        <f>IF(Data!M732="CD",0,1)</f>
        <v>1</v>
      </c>
      <c r="Q732" s="81">
        <f>IF(Data!Q732&gt;Data!P732,DATEDIF(Data!P732,Data!Q732,"d"),0)</f>
        <v>0</v>
      </c>
      <c r="R732" s="81">
        <f>IF(Data!R732&gt;Data!Q732,DATEDIF(Data!Q732,Data!R732,"d"),0)</f>
        <v>0</v>
      </c>
    </row>
    <row r="733" spans="3:18" x14ac:dyDescent="0.2">
      <c r="C733" s="80">
        <f t="shared" ca="1" si="24"/>
        <v>45959</v>
      </c>
      <c r="D733" s="81">
        <f>IF(Data!I733&lt;&gt;"",DATEDIF(Data!I733,C733,"m"),0)</f>
        <v>0</v>
      </c>
      <c r="E733" s="82">
        <f t="shared" si="25"/>
        <v>0</v>
      </c>
      <c r="I733" s="81" t="str">
        <f>CONCATENATE(Data!M733,"-",Data!L733)</f>
        <v>-</v>
      </c>
      <c r="N733" s="81">
        <f>IF(Data!P733,DATEDIF(Data!O733,Data!P733,"d"),0)</f>
        <v>0</v>
      </c>
      <c r="O733" s="81">
        <f>IF(Data!M733="CD",1,0)</f>
        <v>0</v>
      </c>
      <c r="P733" s="81">
        <f>IF(Data!M733="CD",0,1)</f>
        <v>1</v>
      </c>
      <c r="Q733" s="81">
        <f>IF(Data!Q733&gt;Data!P733,DATEDIF(Data!P733,Data!Q733,"d"),0)</f>
        <v>0</v>
      </c>
      <c r="R733" s="81">
        <f>IF(Data!R733&gt;Data!Q733,DATEDIF(Data!Q733,Data!R733,"d"),0)</f>
        <v>0</v>
      </c>
    </row>
    <row r="734" spans="3:18" x14ac:dyDescent="0.2">
      <c r="C734" s="80">
        <f t="shared" ca="1" si="24"/>
        <v>45959</v>
      </c>
      <c r="D734" s="81">
        <f>IF(Data!I734&lt;&gt;"",DATEDIF(Data!I734,C734,"m"),0)</f>
        <v>0</v>
      </c>
      <c r="E734" s="82">
        <f t="shared" si="25"/>
        <v>0</v>
      </c>
      <c r="I734" s="81" t="str">
        <f>CONCATENATE(Data!M734,"-",Data!L734)</f>
        <v>-</v>
      </c>
      <c r="N734" s="81">
        <f>IF(Data!P734,DATEDIF(Data!O734,Data!P734,"d"),0)</f>
        <v>0</v>
      </c>
      <c r="O734" s="81">
        <f>IF(Data!M734="CD",1,0)</f>
        <v>0</v>
      </c>
      <c r="P734" s="81">
        <f>IF(Data!M734="CD",0,1)</f>
        <v>1</v>
      </c>
      <c r="Q734" s="81">
        <f>IF(Data!Q734&gt;Data!P734,DATEDIF(Data!P734,Data!Q734,"d"),0)</f>
        <v>0</v>
      </c>
      <c r="R734" s="81">
        <f>IF(Data!R734&gt;Data!Q734,DATEDIF(Data!Q734,Data!R734,"d"),0)</f>
        <v>0</v>
      </c>
    </row>
    <row r="735" spans="3:18" x14ac:dyDescent="0.2">
      <c r="C735" s="80">
        <f t="shared" ca="1" si="24"/>
        <v>45959</v>
      </c>
      <c r="D735" s="81">
        <f>IF(Data!I735&lt;&gt;"",DATEDIF(Data!I735,C735,"m"),0)</f>
        <v>0</v>
      </c>
      <c r="E735" s="82">
        <f t="shared" si="25"/>
        <v>0</v>
      </c>
      <c r="I735" s="81" t="str">
        <f>CONCATENATE(Data!M735,"-",Data!L735)</f>
        <v>-</v>
      </c>
      <c r="N735" s="81">
        <f>IF(Data!P735,DATEDIF(Data!O735,Data!P735,"d"),0)</f>
        <v>0</v>
      </c>
      <c r="O735" s="81">
        <f>IF(Data!M735="CD",1,0)</f>
        <v>0</v>
      </c>
      <c r="P735" s="81">
        <f>IF(Data!M735="CD",0,1)</f>
        <v>1</v>
      </c>
      <c r="Q735" s="81">
        <f>IF(Data!Q735&gt;Data!P735,DATEDIF(Data!P735,Data!Q735,"d"),0)</f>
        <v>0</v>
      </c>
      <c r="R735" s="81">
        <f>IF(Data!R735&gt;Data!Q735,DATEDIF(Data!Q735,Data!R735,"d"),0)</f>
        <v>0</v>
      </c>
    </row>
    <row r="736" spans="3:18" x14ac:dyDescent="0.2">
      <c r="C736" s="80">
        <f t="shared" ca="1" si="24"/>
        <v>45959</v>
      </c>
      <c r="D736" s="81">
        <f>IF(Data!I736&lt;&gt;"",DATEDIF(Data!I736,C736,"m"),0)</f>
        <v>0</v>
      </c>
      <c r="E736" s="82">
        <f t="shared" si="25"/>
        <v>0</v>
      </c>
      <c r="I736" s="81" t="str">
        <f>CONCATENATE(Data!M736,"-",Data!L736)</f>
        <v>-</v>
      </c>
      <c r="N736" s="81">
        <f>IF(Data!P736,DATEDIF(Data!O736,Data!P736,"d"),0)</f>
        <v>0</v>
      </c>
      <c r="O736" s="81">
        <f>IF(Data!M736="CD",1,0)</f>
        <v>0</v>
      </c>
      <c r="P736" s="81">
        <f>IF(Data!M736="CD",0,1)</f>
        <v>1</v>
      </c>
      <c r="Q736" s="81">
        <f>IF(Data!Q736&gt;Data!P736,DATEDIF(Data!P736,Data!Q736,"d"),0)</f>
        <v>0</v>
      </c>
      <c r="R736" s="81">
        <f>IF(Data!R736&gt;Data!Q736,DATEDIF(Data!Q736,Data!R736,"d"),0)</f>
        <v>0</v>
      </c>
    </row>
    <row r="737" spans="3:18" x14ac:dyDescent="0.2">
      <c r="C737" s="80">
        <f t="shared" ca="1" si="24"/>
        <v>45959</v>
      </c>
      <c r="D737" s="81">
        <f>IF(Data!I737&lt;&gt;"",DATEDIF(Data!I737,C737,"m"),0)</f>
        <v>0</v>
      </c>
      <c r="E737" s="82">
        <f t="shared" si="25"/>
        <v>0</v>
      </c>
      <c r="I737" s="81" t="str">
        <f>CONCATENATE(Data!M737,"-",Data!L737)</f>
        <v>-</v>
      </c>
      <c r="N737" s="81">
        <f>IF(Data!P737,DATEDIF(Data!O737,Data!P737,"d"),0)</f>
        <v>0</v>
      </c>
      <c r="O737" s="81">
        <f>IF(Data!M737="CD",1,0)</f>
        <v>0</v>
      </c>
      <c r="P737" s="81">
        <f>IF(Data!M737="CD",0,1)</f>
        <v>1</v>
      </c>
      <c r="Q737" s="81">
        <f>IF(Data!Q737&gt;Data!P737,DATEDIF(Data!P737,Data!Q737,"d"),0)</f>
        <v>0</v>
      </c>
      <c r="R737" s="81">
        <f>IF(Data!R737&gt;Data!Q737,DATEDIF(Data!Q737,Data!R737,"d"),0)</f>
        <v>0</v>
      </c>
    </row>
    <row r="738" spans="3:18" x14ac:dyDescent="0.2">
      <c r="C738" s="80">
        <f t="shared" ca="1" si="24"/>
        <v>45959</v>
      </c>
      <c r="D738" s="81">
        <f>IF(Data!I738&lt;&gt;"",DATEDIF(Data!I738,C738,"m"),0)</f>
        <v>0</v>
      </c>
      <c r="E738" s="82">
        <f t="shared" si="25"/>
        <v>0</v>
      </c>
      <c r="I738" s="81" t="str">
        <f>CONCATENATE(Data!M738,"-",Data!L738)</f>
        <v>-</v>
      </c>
      <c r="N738" s="81">
        <f>IF(Data!P738,DATEDIF(Data!O738,Data!P738,"d"),0)</f>
        <v>0</v>
      </c>
      <c r="O738" s="81">
        <f>IF(Data!M738="CD",1,0)</f>
        <v>0</v>
      </c>
      <c r="P738" s="81">
        <f>IF(Data!M738="CD",0,1)</f>
        <v>1</v>
      </c>
      <c r="Q738" s="81">
        <f>IF(Data!Q738&gt;Data!P738,DATEDIF(Data!P738,Data!Q738,"d"),0)</f>
        <v>0</v>
      </c>
      <c r="R738" s="81">
        <f>IF(Data!R738&gt;Data!Q738,DATEDIF(Data!Q738,Data!R738,"d"),0)</f>
        <v>0</v>
      </c>
    </row>
    <row r="739" spans="3:18" x14ac:dyDescent="0.2">
      <c r="C739" s="80">
        <f t="shared" ca="1" si="24"/>
        <v>45959</v>
      </c>
      <c r="D739" s="81">
        <f>IF(Data!I739&lt;&gt;"",DATEDIF(Data!I739,C739,"m"),0)</f>
        <v>0</v>
      </c>
      <c r="E739" s="82">
        <f t="shared" si="25"/>
        <v>0</v>
      </c>
      <c r="I739" s="81" t="str">
        <f>CONCATENATE(Data!M739,"-",Data!L739)</f>
        <v>-</v>
      </c>
      <c r="N739" s="81">
        <f>IF(Data!P739,DATEDIF(Data!O739,Data!P739,"d"),0)</f>
        <v>0</v>
      </c>
      <c r="O739" s="81">
        <f>IF(Data!M739="CD",1,0)</f>
        <v>0</v>
      </c>
      <c r="P739" s="81">
        <f>IF(Data!M739="CD",0,1)</f>
        <v>1</v>
      </c>
      <c r="Q739" s="81">
        <f>IF(Data!Q739&gt;Data!P739,DATEDIF(Data!P739,Data!Q739,"d"),0)</f>
        <v>0</v>
      </c>
      <c r="R739" s="81">
        <f>IF(Data!R739&gt;Data!Q739,DATEDIF(Data!Q739,Data!R739,"d"),0)</f>
        <v>0</v>
      </c>
    </row>
    <row r="740" spans="3:18" x14ac:dyDescent="0.2">
      <c r="C740" s="80">
        <f t="shared" ca="1" si="24"/>
        <v>45959</v>
      </c>
      <c r="D740" s="81">
        <f>IF(Data!I740&lt;&gt;"",DATEDIF(Data!I740,C740,"m"),0)</f>
        <v>0</v>
      </c>
      <c r="E740" s="82">
        <f t="shared" si="25"/>
        <v>0</v>
      </c>
      <c r="I740" s="81" t="str">
        <f>CONCATENATE(Data!M740,"-",Data!L740)</f>
        <v>-</v>
      </c>
      <c r="N740" s="81">
        <f>IF(Data!P740,DATEDIF(Data!O740,Data!P740,"d"),0)</f>
        <v>0</v>
      </c>
      <c r="O740" s="81">
        <f>IF(Data!M740="CD",1,0)</f>
        <v>0</v>
      </c>
      <c r="P740" s="81">
        <f>IF(Data!M740="CD",0,1)</f>
        <v>1</v>
      </c>
      <c r="Q740" s="81">
        <f>IF(Data!Q740&gt;Data!P740,DATEDIF(Data!P740,Data!Q740,"d"),0)</f>
        <v>0</v>
      </c>
      <c r="R740" s="81">
        <f>IF(Data!R740&gt;Data!Q740,DATEDIF(Data!Q740,Data!R740,"d"),0)</f>
        <v>0</v>
      </c>
    </row>
    <row r="741" spans="3:18" x14ac:dyDescent="0.2">
      <c r="C741" s="80">
        <f t="shared" ca="1" si="24"/>
        <v>45959</v>
      </c>
      <c r="D741" s="81">
        <f>IF(Data!I741&lt;&gt;"",DATEDIF(Data!I741,C741,"m"),0)</f>
        <v>0</v>
      </c>
      <c r="E741" s="82">
        <f t="shared" si="25"/>
        <v>0</v>
      </c>
      <c r="I741" s="81" t="str">
        <f>CONCATENATE(Data!M741,"-",Data!L741)</f>
        <v>-</v>
      </c>
      <c r="N741" s="81">
        <f>IF(Data!P741,DATEDIF(Data!O741,Data!P741,"d"),0)</f>
        <v>0</v>
      </c>
      <c r="O741" s="81">
        <f>IF(Data!M741="CD",1,0)</f>
        <v>0</v>
      </c>
      <c r="P741" s="81">
        <f>IF(Data!M741="CD",0,1)</f>
        <v>1</v>
      </c>
      <c r="Q741" s="81">
        <f>IF(Data!Q741&gt;Data!P741,DATEDIF(Data!P741,Data!Q741,"d"),0)</f>
        <v>0</v>
      </c>
      <c r="R741" s="81">
        <f>IF(Data!R741&gt;Data!Q741,DATEDIF(Data!Q741,Data!R741,"d"),0)</f>
        <v>0</v>
      </c>
    </row>
    <row r="742" spans="3:18" x14ac:dyDescent="0.2">
      <c r="C742" s="80">
        <f t="shared" ca="1" si="24"/>
        <v>45959</v>
      </c>
      <c r="D742" s="81">
        <f>IF(Data!I742&lt;&gt;"",DATEDIF(Data!I742,C742,"m"),0)</f>
        <v>0</v>
      </c>
      <c r="E742" s="82">
        <f t="shared" si="25"/>
        <v>0</v>
      </c>
      <c r="I742" s="81" t="str">
        <f>CONCATENATE(Data!M742,"-",Data!L742)</f>
        <v>-</v>
      </c>
      <c r="N742" s="81">
        <f>IF(Data!P742,DATEDIF(Data!O742,Data!P742,"d"),0)</f>
        <v>0</v>
      </c>
      <c r="O742" s="81">
        <f>IF(Data!M742="CD",1,0)</f>
        <v>0</v>
      </c>
      <c r="P742" s="81">
        <f>IF(Data!M742="CD",0,1)</f>
        <v>1</v>
      </c>
      <c r="Q742" s="81">
        <f>IF(Data!Q742&gt;Data!P742,DATEDIF(Data!P742,Data!Q742,"d"),0)</f>
        <v>0</v>
      </c>
      <c r="R742" s="81">
        <f>IF(Data!R742&gt;Data!Q742,DATEDIF(Data!Q742,Data!R742,"d"),0)</f>
        <v>0</v>
      </c>
    </row>
    <row r="743" spans="3:18" x14ac:dyDescent="0.2">
      <c r="C743" s="80">
        <f t="shared" ca="1" si="24"/>
        <v>45959</v>
      </c>
      <c r="D743" s="81">
        <f>IF(Data!I743&lt;&gt;"",DATEDIF(Data!I743,C743,"m"),0)</f>
        <v>0</v>
      </c>
      <c r="E743" s="82">
        <f t="shared" si="25"/>
        <v>0</v>
      </c>
      <c r="I743" s="81" t="str">
        <f>CONCATENATE(Data!M743,"-",Data!L743)</f>
        <v>-</v>
      </c>
      <c r="N743" s="81">
        <f>IF(Data!P743,DATEDIF(Data!O743,Data!P743,"d"),0)</f>
        <v>0</v>
      </c>
      <c r="O743" s="81">
        <f>IF(Data!M743="CD",1,0)</f>
        <v>0</v>
      </c>
      <c r="P743" s="81">
        <f>IF(Data!M743="CD",0,1)</f>
        <v>1</v>
      </c>
      <c r="Q743" s="81">
        <f>IF(Data!Q743&gt;Data!P743,DATEDIF(Data!P743,Data!Q743,"d"),0)</f>
        <v>0</v>
      </c>
      <c r="R743" s="81">
        <f>IF(Data!R743&gt;Data!Q743,DATEDIF(Data!Q743,Data!R743,"d"),0)</f>
        <v>0</v>
      </c>
    </row>
    <row r="744" spans="3:18" x14ac:dyDescent="0.2">
      <c r="C744" s="80">
        <f t="shared" ca="1" si="24"/>
        <v>45959</v>
      </c>
      <c r="D744" s="81">
        <f>IF(Data!I744&lt;&gt;"",DATEDIF(Data!I744,C744,"m"),0)</f>
        <v>0</v>
      </c>
      <c r="E744" s="82">
        <f t="shared" si="25"/>
        <v>0</v>
      </c>
      <c r="I744" s="81" t="str">
        <f>CONCATENATE(Data!M744,"-",Data!L744)</f>
        <v>-</v>
      </c>
      <c r="N744" s="81">
        <f>IF(Data!P744,DATEDIF(Data!O744,Data!P744,"d"),0)</f>
        <v>0</v>
      </c>
      <c r="O744" s="81">
        <f>IF(Data!M744="CD",1,0)</f>
        <v>0</v>
      </c>
      <c r="P744" s="81">
        <f>IF(Data!M744="CD",0,1)</f>
        <v>1</v>
      </c>
      <c r="Q744" s="81">
        <f>IF(Data!Q744&gt;Data!P744,DATEDIF(Data!P744,Data!Q744,"d"),0)</f>
        <v>0</v>
      </c>
      <c r="R744" s="81">
        <f>IF(Data!R744&gt;Data!Q744,DATEDIF(Data!Q744,Data!R744,"d"),0)</f>
        <v>0</v>
      </c>
    </row>
    <row r="745" spans="3:18" x14ac:dyDescent="0.2">
      <c r="C745" s="80">
        <f t="shared" ca="1" si="24"/>
        <v>45959</v>
      </c>
      <c r="D745" s="81">
        <f>IF(Data!I745&lt;&gt;"",DATEDIF(Data!I745,C745,"m"),0)</f>
        <v>0</v>
      </c>
      <c r="E745" s="82">
        <f t="shared" si="25"/>
        <v>0</v>
      </c>
      <c r="I745" s="81" t="str">
        <f>CONCATENATE(Data!M745,"-",Data!L745)</f>
        <v>-</v>
      </c>
      <c r="N745" s="81">
        <f>IF(Data!P745,DATEDIF(Data!O745,Data!P745,"d"),0)</f>
        <v>0</v>
      </c>
      <c r="O745" s="81">
        <f>IF(Data!M745="CD",1,0)</f>
        <v>0</v>
      </c>
      <c r="P745" s="81">
        <f>IF(Data!M745="CD",0,1)</f>
        <v>1</v>
      </c>
      <c r="Q745" s="81">
        <f>IF(Data!Q745&gt;Data!P745,DATEDIF(Data!P745,Data!Q745,"d"),0)</f>
        <v>0</v>
      </c>
      <c r="R745" s="81">
        <f>IF(Data!R745&gt;Data!Q745,DATEDIF(Data!Q745,Data!R745,"d"),0)</f>
        <v>0</v>
      </c>
    </row>
    <row r="746" spans="3:18" x14ac:dyDescent="0.2">
      <c r="C746" s="80">
        <f t="shared" ca="1" si="24"/>
        <v>45959</v>
      </c>
      <c r="D746" s="81">
        <f>IF(Data!I746&lt;&gt;"",DATEDIF(Data!I746,C746,"m"),0)</f>
        <v>0</v>
      </c>
      <c r="E746" s="82">
        <f t="shared" si="25"/>
        <v>0</v>
      </c>
      <c r="I746" s="81" t="str">
        <f>CONCATENATE(Data!M746,"-",Data!L746)</f>
        <v>-</v>
      </c>
      <c r="N746" s="81">
        <f>IF(Data!P746,DATEDIF(Data!O746,Data!P746,"d"),0)</f>
        <v>0</v>
      </c>
      <c r="O746" s="81">
        <f>IF(Data!M746="CD",1,0)</f>
        <v>0</v>
      </c>
      <c r="P746" s="81">
        <f>IF(Data!M746="CD",0,1)</f>
        <v>1</v>
      </c>
      <c r="Q746" s="81">
        <f>IF(Data!Q746&gt;Data!P746,DATEDIF(Data!P746,Data!Q746,"d"),0)</f>
        <v>0</v>
      </c>
      <c r="R746" s="81">
        <f>IF(Data!R746&gt;Data!Q746,DATEDIF(Data!Q746,Data!R746,"d"),0)</f>
        <v>0</v>
      </c>
    </row>
    <row r="747" spans="3:18" x14ac:dyDescent="0.2">
      <c r="C747" s="80">
        <f t="shared" ca="1" si="24"/>
        <v>45959</v>
      </c>
      <c r="D747" s="81">
        <f>IF(Data!I747&lt;&gt;"",DATEDIF(Data!I747,C747,"m"),0)</f>
        <v>0</v>
      </c>
      <c r="E747" s="82">
        <f t="shared" si="25"/>
        <v>0</v>
      </c>
      <c r="I747" s="81" t="str">
        <f>CONCATENATE(Data!M747,"-",Data!L747)</f>
        <v>-</v>
      </c>
      <c r="N747" s="81">
        <f>IF(Data!P747,DATEDIF(Data!O747,Data!P747,"d"),0)</f>
        <v>0</v>
      </c>
      <c r="O747" s="81">
        <f>IF(Data!M747="CD",1,0)</f>
        <v>0</v>
      </c>
      <c r="P747" s="81">
        <f>IF(Data!M747="CD",0,1)</f>
        <v>1</v>
      </c>
      <c r="Q747" s="81">
        <f>IF(Data!Q747&gt;Data!P747,DATEDIF(Data!P747,Data!Q747,"d"),0)</f>
        <v>0</v>
      </c>
      <c r="R747" s="81">
        <f>IF(Data!R747&gt;Data!Q747,DATEDIF(Data!Q747,Data!R747,"d"),0)</f>
        <v>0</v>
      </c>
    </row>
    <row r="748" spans="3:18" x14ac:dyDescent="0.2">
      <c r="C748" s="80">
        <f t="shared" ca="1" si="24"/>
        <v>45959</v>
      </c>
      <c r="D748" s="81">
        <f>IF(Data!I748&lt;&gt;"",DATEDIF(Data!I748,C748,"m"),0)</f>
        <v>0</v>
      </c>
      <c r="E748" s="82">
        <f t="shared" si="25"/>
        <v>0</v>
      </c>
      <c r="I748" s="81" t="str">
        <f>CONCATENATE(Data!M748,"-",Data!L748)</f>
        <v>-</v>
      </c>
      <c r="N748" s="81">
        <f>IF(Data!P748,DATEDIF(Data!O748,Data!P748,"d"),0)</f>
        <v>0</v>
      </c>
      <c r="O748" s="81">
        <f>IF(Data!M748="CD",1,0)</f>
        <v>0</v>
      </c>
      <c r="P748" s="81">
        <f>IF(Data!M748="CD",0,1)</f>
        <v>1</v>
      </c>
      <c r="Q748" s="81">
        <f>IF(Data!Q748&gt;Data!P748,DATEDIF(Data!P748,Data!Q748,"d"),0)</f>
        <v>0</v>
      </c>
      <c r="R748" s="81">
        <f>IF(Data!R748&gt;Data!Q748,DATEDIF(Data!Q748,Data!R748,"d"),0)</f>
        <v>0</v>
      </c>
    </row>
    <row r="749" spans="3:18" x14ac:dyDescent="0.2">
      <c r="C749" s="80">
        <f t="shared" ca="1" si="24"/>
        <v>45959</v>
      </c>
      <c r="D749" s="81">
        <f>IF(Data!I749&lt;&gt;"",DATEDIF(Data!I749,C749,"m"),0)</f>
        <v>0</v>
      </c>
      <c r="E749" s="82">
        <f t="shared" si="25"/>
        <v>0</v>
      </c>
      <c r="I749" s="81" t="str">
        <f>CONCATENATE(Data!M749,"-",Data!L749)</f>
        <v>-</v>
      </c>
      <c r="N749" s="81">
        <f>IF(Data!P749,DATEDIF(Data!O749,Data!P749,"d"),0)</f>
        <v>0</v>
      </c>
      <c r="O749" s="81">
        <f>IF(Data!M749="CD",1,0)</f>
        <v>0</v>
      </c>
      <c r="P749" s="81">
        <f>IF(Data!M749="CD",0,1)</f>
        <v>1</v>
      </c>
      <c r="Q749" s="81">
        <f>IF(Data!Q749&gt;Data!P749,DATEDIF(Data!P749,Data!Q749,"d"),0)</f>
        <v>0</v>
      </c>
      <c r="R749" s="81">
        <f>IF(Data!R749&gt;Data!Q749,DATEDIF(Data!Q749,Data!R749,"d"),0)</f>
        <v>0</v>
      </c>
    </row>
    <row r="750" spans="3:18" x14ac:dyDescent="0.2">
      <c r="C750" s="80">
        <f t="shared" ca="1" si="24"/>
        <v>45959</v>
      </c>
      <c r="D750" s="81">
        <f>IF(Data!I750&lt;&gt;"",DATEDIF(Data!I750,C750,"m"),0)</f>
        <v>0</v>
      </c>
      <c r="E750" s="82">
        <f t="shared" si="25"/>
        <v>0</v>
      </c>
      <c r="I750" s="81" t="str">
        <f>CONCATENATE(Data!M750,"-",Data!L750)</f>
        <v>-</v>
      </c>
      <c r="N750" s="81">
        <f>IF(Data!P750,DATEDIF(Data!O750,Data!P750,"d"),0)</f>
        <v>0</v>
      </c>
      <c r="O750" s="81">
        <f>IF(Data!M750="CD",1,0)</f>
        <v>0</v>
      </c>
      <c r="P750" s="81">
        <f>IF(Data!M750="CD",0,1)</f>
        <v>1</v>
      </c>
      <c r="Q750" s="81">
        <f>IF(Data!Q750&gt;Data!P750,DATEDIF(Data!P750,Data!Q750,"d"),0)</f>
        <v>0</v>
      </c>
      <c r="R750" s="81">
        <f>IF(Data!R750&gt;Data!Q750,DATEDIF(Data!Q750,Data!R750,"d"),0)</f>
        <v>0</v>
      </c>
    </row>
    <row r="751" spans="3:18" x14ac:dyDescent="0.2">
      <c r="C751" s="80">
        <f t="shared" ca="1" si="24"/>
        <v>45959</v>
      </c>
      <c r="D751" s="81">
        <f>IF(Data!I751&lt;&gt;"",DATEDIF(Data!I751,C751,"m"),0)</f>
        <v>0</v>
      </c>
      <c r="E751" s="82">
        <f t="shared" si="25"/>
        <v>0</v>
      </c>
      <c r="I751" s="81" t="str">
        <f>CONCATENATE(Data!M751,"-",Data!L751)</f>
        <v>-</v>
      </c>
      <c r="N751" s="81">
        <f>IF(Data!P751,DATEDIF(Data!O751,Data!P751,"d"),0)</f>
        <v>0</v>
      </c>
      <c r="O751" s="81">
        <f>IF(Data!M751="CD",1,0)</f>
        <v>0</v>
      </c>
      <c r="P751" s="81">
        <f>IF(Data!M751="CD",0,1)</f>
        <v>1</v>
      </c>
      <c r="Q751" s="81">
        <f>IF(Data!Q751&gt;Data!P751,DATEDIF(Data!P751,Data!Q751,"d"),0)</f>
        <v>0</v>
      </c>
      <c r="R751" s="81">
        <f>IF(Data!R751&gt;Data!Q751,DATEDIF(Data!Q751,Data!R751,"d"),0)</f>
        <v>0</v>
      </c>
    </row>
    <row r="752" spans="3:18" x14ac:dyDescent="0.2">
      <c r="C752" s="80">
        <f t="shared" ca="1" si="24"/>
        <v>45959</v>
      </c>
      <c r="D752" s="81">
        <f>IF(Data!I752&lt;&gt;"",DATEDIF(Data!I752,C752,"m"),0)</f>
        <v>0</v>
      </c>
      <c r="E752" s="82">
        <f t="shared" si="25"/>
        <v>0</v>
      </c>
      <c r="I752" s="81" t="str">
        <f>CONCATENATE(Data!M752,"-",Data!L752)</f>
        <v>-</v>
      </c>
      <c r="N752" s="81">
        <f>IF(Data!P752,DATEDIF(Data!O752,Data!P752,"d"),0)</f>
        <v>0</v>
      </c>
      <c r="O752" s="81">
        <f>IF(Data!M752="CD",1,0)</f>
        <v>0</v>
      </c>
      <c r="P752" s="81">
        <f>IF(Data!M752="CD",0,1)</f>
        <v>1</v>
      </c>
      <c r="Q752" s="81">
        <f>IF(Data!Q752&gt;Data!P752,DATEDIF(Data!P752,Data!Q752,"d"),0)</f>
        <v>0</v>
      </c>
      <c r="R752" s="81">
        <f>IF(Data!R752&gt;Data!Q752,DATEDIF(Data!Q752,Data!R752,"d"),0)</f>
        <v>0</v>
      </c>
    </row>
    <row r="753" spans="3:18" x14ac:dyDescent="0.2">
      <c r="C753" s="80">
        <f t="shared" ca="1" si="24"/>
        <v>45959</v>
      </c>
      <c r="D753" s="81">
        <f>IF(Data!I753&lt;&gt;"",DATEDIF(Data!I753,C753,"m"),0)</f>
        <v>0</v>
      </c>
      <c r="E753" s="82">
        <f t="shared" si="25"/>
        <v>0</v>
      </c>
      <c r="I753" s="81" t="str">
        <f>CONCATENATE(Data!M753,"-",Data!L753)</f>
        <v>-</v>
      </c>
      <c r="N753" s="81">
        <f>IF(Data!P753,DATEDIF(Data!O753,Data!P753,"d"),0)</f>
        <v>0</v>
      </c>
      <c r="O753" s="81">
        <f>IF(Data!M753="CD",1,0)</f>
        <v>0</v>
      </c>
      <c r="P753" s="81">
        <f>IF(Data!M753="CD",0,1)</f>
        <v>1</v>
      </c>
      <c r="Q753" s="81">
        <f>IF(Data!Q753&gt;Data!P753,DATEDIF(Data!P753,Data!Q753,"d"),0)</f>
        <v>0</v>
      </c>
      <c r="R753" s="81">
        <f>IF(Data!R753&gt;Data!Q753,DATEDIF(Data!Q753,Data!R753,"d"),0)</f>
        <v>0</v>
      </c>
    </row>
    <row r="754" spans="3:18" x14ac:dyDescent="0.2">
      <c r="C754" s="80">
        <f t="shared" ca="1" si="24"/>
        <v>45959</v>
      </c>
      <c r="D754" s="81">
        <f>IF(Data!I754&lt;&gt;"",DATEDIF(Data!I754,C754,"m"),0)</f>
        <v>0</v>
      </c>
      <c r="E754" s="82">
        <f t="shared" si="25"/>
        <v>0</v>
      </c>
      <c r="I754" s="81" t="str">
        <f>CONCATENATE(Data!M754,"-",Data!L754)</f>
        <v>-</v>
      </c>
      <c r="N754" s="81">
        <f>IF(Data!P754,DATEDIF(Data!O754,Data!P754,"d"),0)</f>
        <v>0</v>
      </c>
      <c r="O754" s="81">
        <f>IF(Data!M754="CD",1,0)</f>
        <v>0</v>
      </c>
      <c r="P754" s="81">
        <f>IF(Data!M754="CD",0,1)</f>
        <v>1</v>
      </c>
      <c r="Q754" s="81">
        <f>IF(Data!Q754&gt;Data!P754,DATEDIF(Data!P754,Data!Q754,"d"),0)</f>
        <v>0</v>
      </c>
      <c r="R754" s="81">
        <f>IF(Data!R754&gt;Data!Q754,DATEDIF(Data!Q754,Data!R754,"d"),0)</f>
        <v>0</v>
      </c>
    </row>
    <row r="755" spans="3:18" x14ac:dyDescent="0.2">
      <c r="C755" s="80">
        <f t="shared" ca="1" si="24"/>
        <v>45959</v>
      </c>
      <c r="D755" s="81">
        <f>IF(Data!I755&lt;&gt;"",DATEDIF(Data!I755,C755,"m"),0)</f>
        <v>0</v>
      </c>
      <c r="E755" s="82">
        <f t="shared" si="25"/>
        <v>0</v>
      </c>
      <c r="I755" s="81" t="str">
        <f>CONCATENATE(Data!M755,"-",Data!L755)</f>
        <v>-</v>
      </c>
      <c r="N755" s="81">
        <f>IF(Data!P755,DATEDIF(Data!O755,Data!P755,"d"),0)</f>
        <v>0</v>
      </c>
      <c r="O755" s="81">
        <f>IF(Data!M755="CD",1,0)</f>
        <v>0</v>
      </c>
      <c r="P755" s="81">
        <f>IF(Data!M755="CD",0,1)</f>
        <v>1</v>
      </c>
      <c r="Q755" s="81">
        <f>IF(Data!Q755&gt;Data!P755,DATEDIF(Data!P755,Data!Q755,"d"),0)</f>
        <v>0</v>
      </c>
      <c r="R755" s="81">
        <f>IF(Data!R755&gt;Data!Q755,DATEDIF(Data!Q755,Data!R755,"d"),0)</f>
        <v>0</v>
      </c>
    </row>
    <row r="756" spans="3:18" x14ac:dyDescent="0.2">
      <c r="C756" s="80">
        <f t="shared" ca="1" si="24"/>
        <v>45959</v>
      </c>
      <c r="D756" s="81">
        <f>IF(Data!I756&lt;&gt;"",DATEDIF(Data!I756,C756,"m"),0)</f>
        <v>0</v>
      </c>
      <c r="E756" s="82">
        <f t="shared" si="25"/>
        <v>0</v>
      </c>
      <c r="I756" s="81" t="str">
        <f>CONCATENATE(Data!M756,"-",Data!L756)</f>
        <v>-</v>
      </c>
      <c r="N756" s="81">
        <f>IF(Data!P756,DATEDIF(Data!O756,Data!P756,"d"),0)</f>
        <v>0</v>
      </c>
      <c r="O756" s="81">
        <f>IF(Data!M756="CD",1,0)</f>
        <v>0</v>
      </c>
      <c r="P756" s="81">
        <f>IF(Data!M756="CD",0,1)</f>
        <v>1</v>
      </c>
      <c r="Q756" s="81">
        <f>IF(Data!Q756&gt;Data!P756,DATEDIF(Data!P756,Data!Q756,"d"),0)</f>
        <v>0</v>
      </c>
      <c r="R756" s="81">
        <f>IF(Data!R756&gt;Data!Q756,DATEDIF(Data!Q756,Data!R756,"d"),0)</f>
        <v>0</v>
      </c>
    </row>
    <row r="757" spans="3:18" x14ac:dyDescent="0.2">
      <c r="C757" s="80">
        <f t="shared" ca="1" si="24"/>
        <v>45959</v>
      </c>
      <c r="D757" s="81">
        <f>IF(Data!I757&lt;&gt;"",DATEDIF(Data!I757,C757,"m"),0)</f>
        <v>0</v>
      </c>
      <c r="E757" s="82">
        <f t="shared" si="25"/>
        <v>0</v>
      </c>
      <c r="I757" s="81" t="str">
        <f>CONCATENATE(Data!M757,"-",Data!L757)</f>
        <v>-</v>
      </c>
      <c r="N757" s="81">
        <f>IF(Data!P757,DATEDIF(Data!O757,Data!P757,"d"),0)</f>
        <v>0</v>
      </c>
      <c r="O757" s="81">
        <f>IF(Data!M757="CD",1,0)</f>
        <v>0</v>
      </c>
      <c r="P757" s="81">
        <f>IF(Data!M757="CD",0,1)</f>
        <v>1</v>
      </c>
      <c r="Q757" s="81">
        <f>IF(Data!Q757&gt;Data!P757,DATEDIF(Data!P757,Data!Q757,"d"),0)</f>
        <v>0</v>
      </c>
      <c r="R757" s="81">
        <f>IF(Data!R757&gt;Data!Q757,DATEDIF(Data!Q757,Data!R757,"d"),0)</f>
        <v>0</v>
      </c>
    </row>
    <row r="758" spans="3:18" x14ac:dyDescent="0.2">
      <c r="C758" s="80">
        <f t="shared" ca="1" si="24"/>
        <v>45959</v>
      </c>
      <c r="D758" s="81">
        <f>IF(Data!I758&lt;&gt;"",DATEDIF(Data!I758,C758,"m"),0)</f>
        <v>0</v>
      </c>
      <c r="E758" s="82">
        <f t="shared" si="25"/>
        <v>0</v>
      </c>
      <c r="I758" s="81" t="str">
        <f>CONCATENATE(Data!M758,"-",Data!L758)</f>
        <v>-</v>
      </c>
      <c r="N758" s="81">
        <f>IF(Data!P758,DATEDIF(Data!O758,Data!P758,"d"),0)</f>
        <v>0</v>
      </c>
      <c r="O758" s="81">
        <f>IF(Data!M758="CD",1,0)</f>
        <v>0</v>
      </c>
      <c r="P758" s="81">
        <f>IF(Data!M758="CD",0,1)</f>
        <v>1</v>
      </c>
      <c r="Q758" s="81">
        <f>IF(Data!Q758&gt;Data!P758,DATEDIF(Data!P758,Data!Q758,"d"),0)</f>
        <v>0</v>
      </c>
      <c r="R758" s="81">
        <f>IF(Data!R758&gt;Data!Q758,DATEDIF(Data!Q758,Data!R758,"d"),0)</f>
        <v>0</v>
      </c>
    </row>
    <row r="759" spans="3:18" x14ac:dyDescent="0.2">
      <c r="C759" s="80">
        <f t="shared" ca="1" si="24"/>
        <v>45959</v>
      </c>
      <c r="D759" s="81">
        <f>IF(Data!I759&lt;&gt;"",DATEDIF(Data!I759,C759,"m"),0)</f>
        <v>0</v>
      </c>
      <c r="E759" s="82">
        <f t="shared" si="25"/>
        <v>0</v>
      </c>
      <c r="I759" s="81" t="str">
        <f>CONCATENATE(Data!M759,"-",Data!L759)</f>
        <v>-</v>
      </c>
      <c r="N759" s="81">
        <f>IF(Data!P759,DATEDIF(Data!O759,Data!P759,"d"),0)</f>
        <v>0</v>
      </c>
      <c r="O759" s="81">
        <f>IF(Data!M759="CD",1,0)</f>
        <v>0</v>
      </c>
      <c r="P759" s="81">
        <f>IF(Data!M759="CD",0,1)</f>
        <v>1</v>
      </c>
      <c r="Q759" s="81">
        <f>IF(Data!Q759&gt;Data!P759,DATEDIF(Data!P759,Data!Q759,"d"),0)</f>
        <v>0</v>
      </c>
      <c r="R759" s="81">
        <f>IF(Data!R759&gt;Data!Q759,DATEDIF(Data!Q759,Data!R759,"d"),0)</f>
        <v>0</v>
      </c>
    </row>
    <row r="760" spans="3:18" x14ac:dyDescent="0.2">
      <c r="C760" s="80">
        <f t="shared" ca="1" si="24"/>
        <v>45959</v>
      </c>
      <c r="D760" s="81">
        <f>IF(Data!I760&lt;&gt;"",DATEDIF(Data!I760,C760,"m"),0)</f>
        <v>0</v>
      </c>
      <c r="E760" s="82">
        <f t="shared" si="25"/>
        <v>0</v>
      </c>
      <c r="I760" s="81" t="str">
        <f>CONCATENATE(Data!M760,"-",Data!L760)</f>
        <v>-</v>
      </c>
      <c r="N760" s="81">
        <f>IF(Data!P760,DATEDIF(Data!O760,Data!P760,"d"),0)</f>
        <v>0</v>
      </c>
      <c r="O760" s="81">
        <f>IF(Data!M760="CD",1,0)</f>
        <v>0</v>
      </c>
      <c r="P760" s="81">
        <f>IF(Data!M760="CD",0,1)</f>
        <v>1</v>
      </c>
      <c r="Q760" s="81">
        <f>IF(Data!Q760&gt;Data!P760,DATEDIF(Data!P760,Data!Q760,"d"),0)</f>
        <v>0</v>
      </c>
      <c r="R760" s="81">
        <f>IF(Data!R760&gt;Data!Q760,DATEDIF(Data!Q760,Data!R760,"d"),0)</f>
        <v>0</v>
      </c>
    </row>
    <row r="761" spans="3:18" x14ac:dyDescent="0.2">
      <c r="C761" s="80">
        <f t="shared" ca="1" si="24"/>
        <v>45959</v>
      </c>
      <c r="D761" s="81">
        <f>IF(Data!I761&lt;&gt;"",DATEDIF(Data!I761,C761,"m"),0)</f>
        <v>0</v>
      </c>
      <c r="E761" s="82">
        <f t="shared" si="25"/>
        <v>0</v>
      </c>
      <c r="I761" s="81" t="str">
        <f>CONCATENATE(Data!M761,"-",Data!L761)</f>
        <v>-</v>
      </c>
      <c r="N761" s="81">
        <f>IF(Data!P761,DATEDIF(Data!O761,Data!P761,"d"),0)</f>
        <v>0</v>
      </c>
      <c r="O761" s="81">
        <f>IF(Data!M761="CD",1,0)</f>
        <v>0</v>
      </c>
      <c r="P761" s="81">
        <f>IF(Data!M761="CD",0,1)</f>
        <v>1</v>
      </c>
      <c r="Q761" s="81">
        <f>IF(Data!Q761&gt;Data!P761,DATEDIF(Data!P761,Data!Q761,"d"),0)</f>
        <v>0</v>
      </c>
      <c r="R761" s="81">
        <f>IF(Data!R761&gt;Data!Q761,DATEDIF(Data!Q761,Data!R761,"d"),0)</f>
        <v>0</v>
      </c>
    </row>
    <row r="762" spans="3:18" x14ac:dyDescent="0.2">
      <c r="C762" s="80">
        <f t="shared" ca="1" si="24"/>
        <v>45959</v>
      </c>
      <c r="D762" s="81">
        <f>IF(Data!I762&lt;&gt;"",DATEDIF(Data!I762,C762,"m"),0)</f>
        <v>0</v>
      </c>
      <c r="E762" s="82">
        <f t="shared" si="25"/>
        <v>0</v>
      </c>
      <c r="I762" s="81" t="str">
        <f>CONCATENATE(Data!M762,"-",Data!L762)</f>
        <v>-</v>
      </c>
      <c r="N762" s="81">
        <f>IF(Data!P762,DATEDIF(Data!O762,Data!P762,"d"),0)</f>
        <v>0</v>
      </c>
      <c r="O762" s="81">
        <f>IF(Data!M762="CD",1,0)</f>
        <v>0</v>
      </c>
      <c r="P762" s="81">
        <f>IF(Data!M762="CD",0,1)</f>
        <v>1</v>
      </c>
      <c r="Q762" s="81">
        <f>IF(Data!Q762&gt;Data!P762,DATEDIF(Data!P762,Data!Q762,"d"),0)</f>
        <v>0</v>
      </c>
      <c r="R762" s="81">
        <f>IF(Data!R762&gt;Data!Q762,DATEDIF(Data!Q762,Data!R762,"d"),0)</f>
        <v>0</v>
      </c>
    </row>
    <row r="763" spans="3:18" x14ac:dyDescent="0.2">
      <c r="C763" s="80">
        <f t="shared" ca="1" si="24"/>
        <v>45959</v>
      </c>
      <c r="D763" s="81">
        <f>IF(Data!I763&lt;&gt;"",DATEDIF(Data!I763,C763,"m"),0)</f>
        <v>0</v>
      </c>
      <c r="E763" s="82">
        <f t="shared" si="25"/>
        <v>0</v>
      </c>
      <c r="I763" s="81" t="str">
        <f>CONCATENATE(Data!M763,"-",Data!L763)</f>
        <v>-</v>
      </c>
      <c r="N763" s="81">
        <f>IF(Data!P763,DATEDIF(Data!O763,Data!P763,"d"),0)</f>
        <v>0</v>
      </c>
      <c r="O763" s="81">
        <f>IF(Data!M763="CD",1,0)</f>
        <v>0</v>
      </c>
      <c r="P763" s="81">
        <f>IF(Data!M763="CD",0,1)</f>
        <v>1</v>
      </c>
      <c r="Q763" s="81">
        <f>IF(Data!Q763&gt;Data!P763,DATEDIF(Data!P763,Data!Q763,"d"),0)</f>
        <v>0</v>
      </c>
      <c r="R763" s="81">
        <f>IF(Data!R763&gt;Data!Q763,DATEDIF(Data!Q763,Data!R763,"d"),0)</f>
        <v>0</v>
      </c>
    </row>
    <row r="764" spans="3:18" x14ac:dyDescent="0.2">
      <c r="C764" s="80">
        <f t="shared" ca="1" si="24"/>
        <v>45959</v>
      </c>
      <c r="D764" s="81">
        <f>IF(Data!I764&lt;&gt;"",DATEDIF(Data!I764,C764,"m"),0)</f>
        <v>0</v>
      </c>
      <c r="E764" s="82">
        <f t="shared" si="25"/>
        <v>0</v>
      </c>
      <c r="I764" s="81" t="str">
        <f>CONCATENATE(Data!M764,"-",Data!L764)</f>
        <v>-</v>
      </c>
      <c r="N764" s="81">
        <f>IF(Data!P764,DATEDIF(Data!O764,Data!P764,"d"),0)</f>
        <v>0</v>
      </c>
      <c r="O764" s="81">
        <f>IF(Data!M764="CD",1,0)</f>
        <v>0</v>
      </c>
      <c r="P764" s="81">
        <f>IF(Data!M764="CD",0,1)</f>
        <v>1</v>
      </c>
      <c r="Q764" s="81">
        <f>IF(Data!Q764&gt;Data!P764,DATEDIF(Data!P764,Data!Q764,"d"),0)</f>
        <v>0</v>
      </c>
      <c r="R764" s="81">
        <f>IF(Data!R764&gt;Data!Q764,DATEDIF(Data!Q764,Data!R764,"d"),0)</f>
        <v>0</v>
      </c>
    </row>
    <row r="765" spans="3:18" x14ac:dyDescent="0.2">
      <c r="C765" s="80">
        <f t="shared" ca="1" si="24"/>
        <v>45959</v>
      </c>
      <c r="D765" s="81">
        <f>IF(Data!I765&lt;&gt;"",DATEDIF(Data!I765,C765,"m"),0)</f>
        <v>0</v>
      </c>
      <c r="E765" s="82">
        <f t="shared" si="25"/>
        <v>0</v>
      </c>
      <c r="I765" s="81" t="str">
        <f>CONCATENATE(Data!M765,"-",Data!L765)</f>
        <v>-</v>
      </c>
      <c r="N765" s="81">
        <f>IF(Data!P765,DATEDIF(Data!O765,Data!P765,"d"),0)</f>
        <v>0</v>
      </c>
      <c r="O765" s="81">
        <f>IF(Data!M765="CD",1,0)</f>
        <v>0</v>
      </c>
      <c r="P765" s="81">
        <f>IF(Data!M765="CD",0,1)</f>
        <v>1</v>
      </c>
      <c r="Q765" s="81">
        <f>IF(Data!Q765&gt;Data!P765,DATEDIF(Data!P765,Data!Q765,"d"),0)</f>
        <v>0</v>
      </c>
      <c r="R765" s="81">
        <f>IF(Data!R765&gt;Data!Q765,DATEDIF(Data!Q765,Data!R765,"d"),0)</f>
        <v>0</v>
      </c>
    </row>
    <row r="766" spans="3:18" x14ac:dyDescent="0.2">
      <c r="C766" s="80">
        <f t="shared" ca="1" si="24"/>
        <v>45959</v>
      </c>
      <c r="D766" s="81">
        <f>IF(Data!I766&lt;&gt;"",DATEDIF(Data!I766,C766,"m"),0)</f>
        <v>0</v>
      </c>
      <c r="E766" s="82">
        <f t="shared" si="25"/>
        <v>0</v>
      </c>
      <c r="I766" s="81" t="str">
        <f>CONCATENATE(Data!M766,"-",Data!L766)</f>
        <v>-</v>
      </c>
      <c r="N766" s="81">
        <f>IF(Data!P766,DATEDIF(Data!O766,Data!P766,"d"),0)</f>
        <v>0</v>
      </c>
      <c r="O766" s="81">
        <f>IF(Data!M766="CD",1,0)</f>
        <v>0</v>
      </c>
      <c r="P766" s="81">
        <f>IF(Data!M766="CD",0,1)</f>
        <v>1</v>
      </c>
      <c r="Q766" s="81">
        <f>IF(Data!Q766&gt;Data!P766,DATEDIF(Data!P766,Data!Q766,"d"),0)</f>
        <v>0</v>
      </c>
      <c r="R766" s="81">
        <f>IF(Data!R766&gt;Data!Q766,DATEDIF(Data!Q766,Data!R766,"d"),0)</f>
        <v>0</v>
      </c>
    </row>
    <row r="767" spans="3:18" x14ac:dyDescent="0.2">
      <c r="C767" s="80">
        <f t="shared" ca="1" si="24"/>
        <v>45959</v>
      </c>
      <c r="D767" s="81">
        <f>IF(Data!I767&lt;&gt;"",DATEDIF(Data!I767,C767,"m"),0)</f>
        <v>0</v>
      </c>
      <c r="E767" s="82">
        <f t="shared" si="25"/>
        <v>0</v>
      </c>
      <c r="I767" s="81" t="str">
        <f>CONCATENATE(Data!M767,"-",Data!L767)</f>
        <v>-</v>
      </c>
      <c r="N767" s="81">
        <f>IF(Data!P767,DATEDIF(Data!O767,Data!P767,"d"),0)</f>
        <v>0</v>
      </c>
      <c r="O767" s="81">
        <f>IF(Data!M767="CD",1,0)</f>
        <v>0</v>
      </c>
      <c r="P767" s="81">
        <f>IF(Data!M767="CD",0,1)</f>
        <v>1</v>
      </c>
      <c r="Q767" s="81">
        <f>IF(Data!Q767&gt;Data!P767,DATEDIF(Data!P767,Data!Q767,"d"),0)</f>
        <v>0</v>
      </c>
      <c r="R767" s="81">
        <f>IF(Data!R767&gt;Data!Q767,DATEDIF(Data!Q767,Data!R767,"d"),0)</f>
        <v>0</v>
      </c>
    </row>
    <row r="768" spans="3:18" x14ac:dyDescent="0.2">
      <c r="C768" s="80">
        <f t="shared" ca="1" si="24"/>
        <v>45959</v>
      </c>
      <c r="D768" s="81">
        <f>IF(Data!I768&lt;&gt;"",DATEDIF(Data!I768,C768,"m"),0)</f>
        <v>0</v>
      </c>
      <c r="E768" s="82">
        <f t="shared" si="25"/>
        <v>0</v>
      </c>
      <c r="I768" s="81" t="str">
        <f>CONCATENATE(Data!M768,"-",Data!L768)</f>
        <v>-</v>
      </c>
      <c r="N768" s="81">
        <f>IF(Data!P768,DATEDIF(Data!O768,Data!P768,"d"),0)</f>
        <v>0</v>
      </c>
      <c r="O768" s="81">
        <f>IF(Data!M768="CD",1,0)</f>
        <v>0</v>
      </c>
      <c r="P768" s="81">
        <f>IF(Data!M768="CD",0,1)</f>
        <v>1</v>
      </c>
      <c r="Q768" s="81">
        <f>IF(Data!Q768&gt;Data!P768,DATEDIF(Data!P768,Data!Q768,"d"),0)</f>
        <v>0</v>
      </c>
      <c r="R768" s="81">
        <f>IF(Data!R768&gt;Data!Q768,DATEDIF(Data!Q768,Data!R768,"d"),0)</f>
        <v>0</v>
      </c>
    </row>
    <row r="769" spans="3:18" x14ac:dyDescent="0.2">
      <c r="C769" s="80">
        <f t="shared" ca="1" si="24"/>
        <v>45959</v>
      </c>
      <c r="D769" s="81">
        <f>IF(Data!I769&lt;&gt;"",DATEDIF(Data!I769,C769,"m"),0)</f>
        <v>0</v>
      </c>
      <c r="E769" s="82">
        <f t="shared" si="25"/>
        <v>0</v>
      </c>
      <c r="I769" s="81" t="str">
        <f>CONCATENATE(Data!M769,"-",Data!L769)</f>
        <v>-</v>
      </c>
      <c r="N769" s="81">
        <f>IF(Data!P769,DATEDIF(Data!O769,Data!P769,"d"),0)</f>
        <v>0</v>
      </c>
      <c r="O769" s="81">
        <f>IF(Data!M769="CD",1,0)</f>
        <v>0</v>
      </c>
      <c r="P769" s="81">
        <f>IF(Data!M769="CD",0,1)</f>
        <v>1</v>
      </c>
      <c r="Q769" s="81">
        <f>IF(Data!Q769&gt;Data!P769,DATEDIF(Data!P769,Data!Q769,"d"),0)</f>
        <v>0</v>
      </c>
      <c r="R769" s="81">
        <f>IF(Data!R769&gt;Data!Q769,DATEDIF(Data!Q769,Data!R769,"d"),0)</f>
        <v>0</v>
      </c>
    </row>
    <row r="770" spans="3:18" x14ac:dyDescent="0.2">
      <c r="C770" s="80">
        <f t="shared" ref="C770:C833" ca="1" si="26">TODAY()</f>
        <v>45959</v>
      </c>
      <c r="D770" s="81">
        <f>IF(Data!I770&lt;&gt;"",DATEDIF(Data!I770,C770,"m"),0)</f>
        <v>0</v>
      </c>
      <c r="E770" s="82">
        <f t="shared" si="25"/>
        <v>0</v>
      </c>
      <c r="I770" s="81" t="str">
        <f>CONCATENATE(Data!M770,"-",Data!L770)</f>
        <v>-</v>
      </c>
      <c r="N770" s="81">
        <f>IF(Data!P770,DATEDIF(Data!O770,Data!P770,"d"),0)</f>
        <v>0</v>
      </c>
      <c r="O770" s="81">
        <f>IF(Data!M770="CD",1,0)</f>
        <v>0</v>
      </c>
      <c r="P770" s="81">
        <f>IF(Data!M770="CD",0,1)</f>
        <v>1</v>
      </c>
      <c r="Q770" s="81">
        <f>IF(Data!Q770&gt;Data!P770,DATEDIF(Data!P770,Data!Q770,"d"),0)</f>
        <v>0</v>
      </c>
      <c r="R770" s="81">
        <f>IF(Data!R770&gt;Data!Q770,DATEDIF(Data!Q770,Data!R770,"d"),0)</f>
        <v>0</v>
      </c>
    </row>
    <row r="771" spans="3:18" x14ac:dyDescent="0.2">
      <c r="C771" s="80">
        <f t="shared" ca="1" si="26"/>
        <v>45959</v>
      </c>
      <c r="D771" s="81">
        <f>IF(Data!I771&lt;&gt;"",DATEDIF(Data!I771,C771,"m"),0)</f>
        <v>0</v>
      </c>
      <c r="E771" s="82">
        <f t="shared" ref="E771:E834" si="27">D771/12</f>
        <v>0</v>
      </c>
      <c r="I771" s="81" t="str">
        <f>CONCATENATE(Data!M771,"-",Data!L771)</f>
        <v>-</v>
      </c>
      <c r="N771" s="81">
        <f>IF(Data!P771,DATEDIF(Data!O771,Data!P771,"d"),0)</f>
        <v>0</v>
      </c>
      <c r="O771" s="81">
        <f>IF(Data!M771="CD",1,0)</f>
        <v>0</v>
      </c>
      <c r="P771" s="81">
        <f>IF(Data!M771="CD",0,1)</f>
        <v>1</v>
      </c>
      <c r="Q771" s="81">
        <f>IF(Data!Q771&gt;Data!P771,DATEDIF(Data!P771,Data!Q771,"d"),0)</f>
        <v>0</v>
      </c>
      <c r="R771" s="81">
        <f>IF(Data!R771&gt;Data!Q771,DATEDIF(Data!Q771,Data!R771,"d"),0)</f>
        <v>0</v>
      </c>
    </row>
    <row r="772" spans="3:18" x14ac:dyDescent="0.2">
      <c r="C772" s="80">
        <f t="shared" ca="1" si="26"/>
        <v>45959</v>
      </c>
      <c r="D772" s="81">
        <f>IF(Data!I772&lt;&gt;"",DATEDIF(Data!I772,C772,"m"),0)</f>
        <v>0</v>
      </c>
      <c r="E772" s="82">
        <f t="shared" si="27"/>
        <v>0</v>
      </c>
      <c r="I772" s="81" t="str">
        <f>CONCATENATE(Data!M772,"-",Data!L772)</f>
        <v>-</v>
      </c>
      <c r="N772" s="81">
        <f>IF(Data!P772,DATEDIF(Data!O772,Data!P772,"d"),0)</f>
        <v>0</v>
      </c>
      <c r="O772" s="81">
        <f>IF(Data!M772="CD",1,0)</f>
        <v>0</v>
      </c>
      <c r="P772" s="81">
        <f>IF(Data!M772="CD",0,1)</f>
        <v>1</v>
      </c>
      <c r="Q772" s="81">
        <f>IF(Data!Q772&gt;Data!P772,DATEDIF(Data!P772,Data!Q772,"d"),0)</f>
        <v>0</v>
      </c>
      <c r="R772" s="81">
        <f>IF(Data!R772&gt;Data!Q772,DATEDIF(Data!Q772,Data!R772,"d"),0)</f>
        <v>0</v>
      </c>
    </row>
    <row r="773" spans="3:18" x14ac:dyDescent="0.2">
      <c r="C773" s="80">
        <f t="shared" ca="1" si="26"/>
        <v>45959</v>
      </c>
      <c r="D773" s="81">
        <f>IF(Data!I773&lt;&gt;"",DATEDIF(Data!I773,C773,"m"),0)</f>
        <v>0</v>
      </c>
      <c r="E773" s="82">
        <f t="shared" si="27"/>
        <v>0</v>
      </c>
      <c r="I773" s="81" t="str">
        <f>CONCATENATE(Data!M773,"-",Data!L773)</f>
        <v>-</v>
      </c>
      <c r="N773" s="81">
        <f>IF(Data!P773,DATEDIF(Data!O773,Data!P773,"d"),0)</f>
        <v>0</v>
      </c>
      <c r="O773" s="81">
        <f>IF(Data!M773="CD",1,0)</f>
        <v>0</v>
      </c>
      <c r="P773" s="81">
        <f>IF(Data!M773="CD",0,1)</f>
        <v>1</v>
      </c>
      <c r="Q773" s="81">
        <f>IF(Data!Q773&gt;Data!P773,DATEDIF(Data!P773,Data!Q773,"d"),0)</f>
        <v>0</v>
      </c>
      <c r="R773" s="81">
        <f>IF(Data!R773&gt;Data!Q773,DATEDIF(Data!Q773,Data!R773,"d"),0)</f>
        <v>0</v>
      </c>
    </row>
    <row r="774" spans="3:18" x14ac:dyDescent="0.2">
      <c r="C774" s="80">
        <f t="shared" ca="1" si="26"/>
        <v>45959</v>
      </c>
      <c r="D774" s="81">
        <f>IF(Data!I774&lt;&gt;"",DATEDIF(Data!I774,C774,"m"),0)</f>
        <v>0</v>
      </c>
      <c r="E774" s="82">
        <f t="shared" si="27"/>
        <v>0</v>
      </c>
      <c r="I774" s="81" t="str">
        <f>CONCATENATE(Data!M774,"-",Data!L774)</f>
        <v>-</v>
      </c>
      <c r="N774" s="81">
        <f>IF(Data!P774,DATEDIF(Data!O774,Data!P774,"d"),0)</f>
        <v>0</v>
      </c>
      <c r="O774" s="81">
        <f>IF(Data!M774="CD",1,0)</f>
        <v>0</v>
      </c>
      <c r="P774" s="81">
        <f>IF(Data!M774="CD",0,1)</f>
        <v>1</v>
      </c>
      <c r="Q774" s="81">
        <f>IF(Data!Q774&gt;Data!P774,DATEDIF(Data!P774,Data!Q774,"d"),0)</f>
        <v>0</v>
      </c>
      <c r="R774" s="81">
        <f>IF(Data!R774&gt;Data!Q774,DATEDIF(Data!Q774,Data!R774,"d"),0)</f>
        <v>0</v>
      </c>
    </row>
    <row r="775" spans="3:18" x14ac:dyDescent="0.2">
      <c r="C775" s="80">
        <f t="shared" ca="1" si="26"/>
        <v>45959</v>
      </c>
      <c r="D775" s="81">
        <f>IF(Data!I775&lt;&gt;"",DATEDIF(Data!I775,C775,"m"),0)</f>
        <v>0</v>
      </c>
      <c r="E775" s="82">
        <f t="shared" si="27"/>
        <v>0</v>
      </c>
      <c r="I775" s="81" t="str">
        <f>CONCATENATE(Data!M775,"-",Data!L775)</f>
        <v>-</v>
      </c>
      <c r="N775" s="81">
        <f>IF(Data!P775,DATEDIF(Data!O775,Data!P775,"d"),0)</f>
        <v>0</v>
      </c>
      <c r="O775" s="81">
        <f>IF(Data!M775="CD",1,0)</f>
        <v>0</v>
      </c>
      <c r="P775" s="81">
        <f>IF(Data!M775="CD",0,1)</f>
        <v>1</v>
      </c>
      <c r="Q775" s="81">
        <f>IF(Data!Q775&gt;Data!P775,DATEDIF(Data!P775,Data!Q775,"d"),0)</f>
        <v>0</v>
      </c>
      <c r="R775" s="81">
        <f>IF(Data!R775&gt;Data!Q775,DATEDIF(Data!Q775,Data!R775,"d"),0)</f>
        <v>0</v>
      </c>
    </row>
    <row r="776" spans="3:18" x14ac:dyDescent="0.2">
      <c r="C776" s="80">
        <f t="shared" ca="1" si="26"/>
        <v>45959</v>
      </c>
      <c r="D776" s="81">
        <f>IF(Data!I776&lt;&gt;"",DATEDIF(Data!I776,C776,"m"),0)</f>
        <v>0</v>
      </c>
      <c r="E776" s="82">
        <f t="shared" si="27"/>
        <v>0</v>
      </c>
      <c r="I776" s="81" t="str">
        <f>CONCATENATE(Data!M776,"-",Data!L776)</f>
        <v>-</v>
      </c>
      <c r="N776" s="81">
        <f>IF(Data!P776,DATEDIF(Data!O776,Data!P776,"d"),0)</f>
        <v>0</v>
      </c>
      <c r="O776" s="81">
        <f>IF(Data!M776="CD",1,0)</f>
        <v>0</v>
      </c>
      <c r="P776" s="81">
        <f>IF(Data!M776="CD",0,1)</f>
        <v>1</v>
      </c>
      <c r="Q776" s="81">
        <f>IF(Data!Q776&gt;Data!P776,DATEDIF(Data!P776,Data!Q776,"d"),0)</f>
        <v>0</v>
      </c>
      <c r="R776" s="81">
        <f>IF(Data!R776&gt;Data!Q776,DATEDIF(Data!Q776,Data!R776,"d"),0)</f>
        <v>0</v>
      </c>
    </row>
    <row r="777" spans="3:18" x14ac:dyDescent="0.2">
      <c r="C777" s="80">
        <f t="shared" ca="1" si="26"/>
        <v>45959</v>
      </c>
      <c r="D777" s="81">
        <f>IF(Data!I777&lt;&gt;"",DATEDIF(Data!I777,C777,"m"),0)</f>
        <v>0</v>
      </c>
      <c r="E777" s="82">
        <f t="shared" si="27"/>
        <v>0</v>
      </c>
      <c r="I777" s="81" t="str">
        <f>CONCATENATE(Data!M777,"-",Data!L777)</f>
        <v>-</v>
      </c>
      <c r="N777" s="81">
        <f>IF(Data!P777,DATEDIF(Data!O777,Data!P777,"d"),0)</f>
        <v>0</v>
      </c>
      <c r="O777" s="81">
        <f>IF(Data!M777="CD",1,0)</f>
        <v>0</v>
      </c>
      <c r="P777" s="81">
        <f>IF(Data!M777="CD",0,1)</f>
        <v>1</v>
      </c>
      <c r="Q777" s="81">
        <f>IF(Data!Q777&gt;Data!P777,DATEDIF(Data!P777,Data!Q777,"d"),0)</f>
        <v>0</v>
      </c>
      <c r="R777" s="81">
        <f>IF(Data!R777&gt;Data!Q777,DATEDIF(Data!Q777,Data!R777,"d"),0)</f>
        <v>0</v>
      </c>
    </row>
    <row r="778" spans="3:18" x14ac:dyDescent="0.2">
      <c r="C778" s="80">
        <f t="shared" ca="1" si="26"/>
        <v>45959</v>
      </c>
      <c r="D778" s="81">
        <f>IF(Data!I778&lt;&gt;"",DATEDIF(Data!I778,C778,"m"),0)</f>
        <v>0</v>
      </c>
      <c r="E778" s="82">
        <f t="shared" si="27"/>
        <v>0</v>
      </c>
      <c r="I778" s="81" t="str">
        <f>CONCATENATE(Data!M778,"-",Data!L778)</f>
        <v>-</v>
      </c>
      <c r="N778" s="81">
        <f>IF(Data!P778,DATEDIF(Data!O778,Data!P778,"d"),0)</f>
        <v>0</v>
      </c>
      <c r="O778" s="81">
        <f>IF(Data!M778="CD",1,0)</f>
        <v>0</v>
      </c>
      <c r="P778" s="81">
        <f>IF(Data!M778="CD",0,1)</f>
        <v>1</v>
      </c>
      <c r="Q778" s="81">
        <f>IF(Data!Q778&gt;Data!P778,DATEDIF(Data!P778,Data!Q778,"d"),0)</f>
        <v>0</v>
      </c>
      <c r="R778" s="81">
        <f>IF(Data!R778&gt;Data!Q778,DATEDIF(Data!Q778,Data!R778,"d"),0)</f>
        <v>0</v>
      </c>
    </row>
    <row r="779" spans="3:18" x14ac:dyDescent="0.2">
      <c r="C779" s="80">
        <f t="shared" ca="1" si="26"/>
        <v>45959</v>
      </c>
      <c r="D779" s="81">
        <f>IF(Data!I779&lt;&gt;"",DATEDIF(Data!I779,C779,"m"),0)</f>
        <v>0</v>
      </c>
      <c r="E779" s="82">
        <f t="shared" si="27"/>
        <v>0</v>
      </c>
      <c r="I779" s="81" t="str">
        <f>CONCATENATE(Data!M779,"-",Data!L779)</f>
        <v>-</v>
      </c>
      <c r="N779" s="81">
        <f>IF(Data!P779,DATEDIF(Data!O779,Data!P779,"d"),0)</f>
        <v>0</v>
      </c>
      <c r="O779" s="81">
        <f>IF(Data!M779="CD",1,0)</f>
        <v>0</v>
      </c>
      <c r="P779" s="81">
        <f>IF(Data!M779="CD",0,1)</f>
        <v>1</v>
      </c>
      <c r="Q779" s="81">
        <f>IF(Data!Q779&gt;Data!P779,DATEDIF(Data!P779,Data!Q779,"d"),0)</f>
        <v>0</v>
      </c>
      <c r="R779" s="81">
        <f>IF(Data!R779&gt;Data!Q779,DATEDIF(Data!Q779,Data!R779,"d"),0)</f>
        <v>0</v>
      </c>
    </row>
    <row r="780" spans="3:18" x14ac:dyDescent="0.2">
      <c r="C780" s="80">
        <f t="shared" ca="1" si="26"/>
        <v>45959</v>
      </c>
      <c r="D780" s="81">
        <f>IF(Data!I780&lt;&gt;"",DATEDIF(Data!I780,C780,"m"),0)</f>
        <v>0</v>
      </c>
      <c r="E780" s="82">
        <f t="shared" si="27"/>
        <v>0</v>
      </c>
      <c r="I780" s="81" t="str">
        <f>CONCATENATE(Data!M780,"-",Data!L780)</f>
        <v>-</v>
      </c>
      <c r="N780" s="81">
        <f>IF(Data!P780,DATEDIF(Data!O780,Data!P780,"d"),0)</f>
        <v>0</v>
      </c>
      <c r="O780" s="81">
        <f>IF(Data!M780="CD",1,0)</f>
        <v>0</v>
      </c>
      <c r="P780" s="81">
        <f>IF(Data!M780="CD",0,1)</f>
        <v>1</v>
      </c>
      <c r="Q780" s="81">
        <f>IF(Data!Q780&gt;Data!P780,DATEDIF(Data!P780,Data!Q780,"d"),0)</f>
        <v>0</v>
      </c>
      <c r="R780" s="81">
        <f>IF(Data!R780&gt;Data!Q780,DATEDIF(Data!Q780,Data!R780,"d"),0)</f>
        <v>0</v>
      </c>
    </row>
    <row r="781" spans="3:18" x14ac:dyDescent="0.2">
      <c r="C781" s="80">
        <f t="shared" ca="1" si="26"/>
        <v>45959</v>
      </c>
      <c r="D781" s="81">
        <f>IF(Data!I781&lt;&gt;"",DATEDIF(Data!I781,C781,"m"),0)</f>
        <v>0</v>
      </c>
      <c r="E781" s="82">
        <f t="shared" si="27"/>
        <v>0</v>
      </c>
      <c r="I781" s="81" t="str">
        <f>CONCATENATE(Data!M781,"-",Data!L781)</f>
        <v>-</v>
      </c>
      <c r="N781" s="81">
        <f>IF(Data!P781,DATEDIF(Data!O781,Data!P781,"d"),0)</f>
        <v>0</v>
      </c>
      <c r="O781" s="81">
        <f>IF(Data!M781="CD",1,0)</f>
        <v>0</v>
      </c>
      <c r="P781" s="81">
        <f>IF(Data!M781="CD",0,1)</f>
        <v>1</v>
      </c>
      <c r="Q781" s="81">
        <f>IF(Data!Q781&gt;Data!P781,DATEDIF(Data!P781,Data!Q781,"d"),0)</f>
        <v>0</v>
      </c>
      <c r="R781" s="81">
        <f>IF(Data!R781&gt;Data!Q781,DATEDIF(Data!Q781,Data!R781,"d"),0)</f>
        <v>0</v>
      </c>
    </row>
    <row r="782" spans="3:18" x14ac:dyDescent="0.2">
      <c r="C782" s="80">
        <f t="shared" ca="1" si="26"/>
        <v>45959</v>
      </c>
      <c r="D782" s="81">
        <f>IF(Data!I782&lt;&gt;"",DATEDIF(Data!I782,C782,"m"),0)</f>
        <v>0</v>
      </c>
      <c r="E782" s="82">
        <f t="shared" si="27"/>
        <v>0</v>
      </c>
      <c r="I782" s="81" t="str">
        <f>CONCATENATE(Data!M782,"-",Data!L782)</f>
        <v>-</v>
      </c>
      <c r="N782" s="81">
        <f>IF(Data!P782,DATEDIF(Data!O782,Data!P782,"d"),0)</f>
        <v>0</v>
      </c>
      <c r="O782" s="81">
        <f>IF(Data!M782="CD",1,0)</f>
        <v>0</v>
      </c>
      <c r="P782" s="81">
        <f>IF(Data!M782="CD",0,1)</f>
        <v>1</v>
      </c>
      <c r="Q782" s="81">
        <f>IF(Data!Q782&gt;Data!P782,DATEDIF(Data!P782,Data!Q782,"d"),0)</f>
        <v>0</v>
      </c>
      <c r="R782" s="81">
        <f>IF(Data!R782&gt;Data!Q782,DATEDIF(Data!Q782,Data!R782,"d"),0)</f>
        <v>0</v>
      </c>
    </row>
    <row r="783" spans="3:18" x14ac:dyDescent="0.2">
      <c r="C783" s="80">
        <f t="shared" ca="1" si="26"/>
        <v>45959</v>
      </c>
      <c r="D783" s="81">
        <f>IF(Data!I783&lt;&gt;"",DATEDIF(Data!I783,C783,"m"),0)</f>
        <v>0</v>
      </c>
      <c r="E783" s="82">
        <f t="shared" si="27"/>
        <v>0</v>
      </c>
      <c r="I783" s="81" t="str">
        <f>CONCATENATE(Data!M783,"-",Data!L783)</f>
        <v>-</v>
      </c>
      <c r="N783" s="81">
        <f>IF(Data!P783,DATEDIF(Data!O783,Data!P783,"d"),0)</f>
        <v>0</v>
      </c>
      <c r="O783" s="81">
        <f>IF(Data!M783="CD",1,0)</f>
        <v>0</v>
      </c>
      <c r="P783" s="81">
        <f>IF(Data!M783="CD",0,1)</f>
        <v>1</v>
      </c>
      <c r="Q783" s="81">
        <f>IF(Data!Q783&gt;Data!P783,DATEDIF(Data!P783,Data!Q783,"d"),0)</f>
        <v>0</v>
      </c>
      <c r="R783" s="81">
        <f>IF(Data!R783&gt;Data!Q783,DATEDIF(Data!Q783,Data!R783,"d"),0)</f>
        <v>0</v>
      </c>
    </row>
    <row r="784" spans="3:18" x14ac:dyDescent="0.2">
      <c r="C784" s="80">
        <f t="shared" ca="1" si="26"/>
        <v>45959</v>
      </c>
      <c r="D784" s="81">
        <f>IF(Data!I784&lt;&gt;"",DATEDIF(Data!I784,C784,"m"),0)</f>
        <v>0</v>
      </c>
      <c r="E784" s="82">
        <f t="shared" si="27"/>
        <v>0</v>
      </c>
      <c r="I784" s="81" t="str">
        <f>CONCATENATE(Data!M784,"-",Data!L784)</f>
        <v>-</v>
      </c>
      <c r="N784" s="81">
        <f>IF(Data!P784,DATEDIF(Data!O784,Data!P784,"d"),0)</f>
        <v>0</v>
      </c>
      <c r="O784" s="81">
        <f>IF(Data!M784="CD",1,0)</f>
        <v>0</v>
      </c>
      <c r="P784" s="81">
        <f>IF(Data!M784="CD",0,1)</f>
        <v>1</v>
      </c>
      <c r="Q784" s="81">
        <f>IF(Data!Q784&gt;Data!P784,DATEDIF(Data!P784,Data!Q784,"d"),0)</f>
        <v>0</v>
      </c>
      <c r="R784" s="81">
        <f>IF(Data!R784&gt;Data!Q784,DATEDIF(Data!Q784,Data!R784,"d"),0)</f>
        <v>0</v>
      </c>
    </row>
    <row r="785" spans="3:18" x14ac:dyDescent="0.2">
      <c r="C785" s="80">
        <f t="shared" ca="1" si="26"/>
        <v>45959</v>
      </c>
      <c r="D785" s="81">
        <f>IF(Data!I785&lt;&gt;"",DATEDIF(Data!I785,C785,"m"),0)</f>
        <v>0</v>
      </c>
      <c r="E785" s="82">
        <f t="shared" si="27"/>
        <v>0</v>
      </c>
      <c r="I785" s="81" t="str">
        <f>CONCATENATE(Data!M785,"-",Data!L785)</f>
        <v>-</v>
      </c>
      <c r="N785" s="81">
        <f>IF(Data!P785,DATEDIF(Data!O785,Data!P785,"d"),0)</f>
        <v>0</v>
      </c>
      <c r="O785" s="81">
        <f>IF(Data!M785="CD",1,0)</f>
        <v>0</v>
      </c>
      <c r="P785" s="81">
        <f>IF(Data!M785="CD",0,1)</f>
        <v>1</v>
      </c>
      <c r="Q785" s="81">
        <f>IF(Data!Q785&gt;Data!P785,DATEDIF(Data!P785,Data!Q785,"d"),0)</f>
        <v>0</v>
      </c>
      <c r="R785" s="81">
        <f>IF(Data!R785&gt;Data!Q785,DATEDIF(Data!Q785,Data!R785,"d"),0)</f>
        <v>0</v>
      </c>
    </row>
    <row r="786" spans="3:18" x14ac:dyDescent="0.2">
      <c r="C786" s="80">
        <f t="shared" ca="1" si="26"/>
        <v>45959</v>
      </c>
      <c r="D786" s="81">
        <f>IF(Data!I786&lt;&gt;"",DATEDIF(Data!I786,C786,"m"),0)</f>
        <v>0</v>
      </c>
      <c r="E786" s="82">
        <f t="shared" si="27"/>
        <v>0</v>
      </c>
      <c r="I786" s="81" t="str">
        <f>CONCATENATE(Data!M786,"-",Data!L786)</f>
        <v>-</v>
      </c>
      <c r="N786" s="81">
        <f>IF(Data!P786,DATEDIF(Data!O786,Data!P786,"d"),0)</f>
        <v>0</v>
      </c>
      <c r="O786" s="81">
        <f>IF(Data!M786="CD",1,0)</f>
        <v>0</v>
      </c>
      <c r="P786" s="81">
        <f>IF(Data!M786="CD",0,1)</f>
        <v>1</v>
      </c>
      <c r="Q786" s="81">
        <f>IF(Data!Q786&gt;Data!P786,DATEDIF(Data!P786,Data!Q786,"d"),0)</f>
        <v>0</v>
      </c>
      <c r="R786" s="81">
        <f>IF(Data!R786&gt;Data!Q786,DATEDIF(Data!Q786,Data!R786,"d"),0)</f>
        <v>0</v>
      </c>
    </row>
    <row r="787" spans="3:18" x14ac:dyDescent="0.2">
      <c r="C787" s="80">
        <f t="shared" ca="1" si="26"/>
        <v>45959</v>
      </c>
      <c r="D787" s="81">
        <f>IF(Data!I787&lt;&gt;"",DATEDIF(Data!I787,C787,"m"),0)</f>
        <v>0</v>
      </c>
      <c r="E787" s="82">
        <f t="shared" si="27"/>
        <v>0</v>
      </c>
      <c r="I787" s="81" t="str">
        <f>CONCATENATE(Data!M787,"-",Data!L787)</f>
        <v>-</v>
      </c>
      <c r="N787" s="81">
        <f>IF(Data!P787,DATEDIF(Data!O787,Data!P787,"d"),0)</f>
        <v>0</v>
      </c>
      <c r="O787" s="81">
        <f>IF(Data!M787="CD",1,0)</f>
        <v>0</v>
      </c>
      <c r="P787" s="81">
        <f>IF(Data!M787="CD",0,1)</f>
        <v>1</v>
      </c>
      <c r="Q787" s="81">
        <f>IF(Data!Q787&gt;Data!P787,DATEDIF(Data!P787,Data!Q787,"d"),0)</f>
        <v>0</v>
      </c>
      <c r="R787" s="81">
        <f>IF(Data!R787&gt;Data!Q787,DATEDIF(Data!Q787,Data!R787,"d"),0)</f>
        <v>0</v>
      </c>
    </row>
    <row r="788" spans="3:18" x14ac:dyDescent="0.2">
      <c r="C788" s="80">
        <f t="shared" ca="1" si="26"/>
        <v>45959</v>
      </c>
      <c r="D788" s="81">
        <f>IF(Data!I788&lt;&gt;"",DATEDIF(Data!I788,C788,"m"),0)</f>
        <v>0</v>
      </c>
      <c r="E788" s="82">
        <f t="shared" si="27"/>
        <v>0</v>
      </c>
      <c r="I788" s="81" t="str">
        <f>CONCATENATE(Data!M788,"-",Data!L788)</f>
        <v>-</v>
      </c>
      <c r="N788" s="81">
        <f>IF(Data!P788,DATEDIF(Data!O788,Data!P788,"d"),0)</f>
        <v>0</v>
      </c>
      <c r="O788" s="81">
        <f>IF(Data!M788="CD",1,0)</f>
        <v>0</v>
      </c>
      <c r="P788" s="81">
        <f>IF(Data!M788="CD",0,1)</f>
        <v>1</v>
      </c>
      <c r="Q788" s="81">
        <f>IF(Data!Q788&gt;Data!P788,DATEDIF(Data!P788,Data!Q788,"d"),0)</f>
        <v>0</v>
      </c>
      <c r="R788" s="81">
        <f>IF(Data!R788&gt;Data!Q788,DATEDIF(Data!Q788,Data!R788,"d"),0)</f>
        <v>0</v>
      </c>
    </row>
    <row r="789" spans="3:18" x14ac:dyDescent="0.2">
      <c r="C789" s="80">
        <f t="shared" ca="1" si="26"/>
        <v>45959</v>
      </c>
      <c r="D789" s="81">
        <f>IF(Data!I789&lt;&gt;"",DATEDIF(Data!I789,C789,"m"),0)</f>
        <v>0</v>
      </c>
      <c r="E789" s="82">
        <f t="shared" si="27"/>
        <v>0</v>
      </c>
      <c r="I789" s="81" t="str">
        <f>CONCATENATE(Data!M789,"-",Data!L789)</f>
        <v>-</v>
      </c>
      <c r="N789" s="81">
        <f>IF(Data!P789,DATEDIF(Data!O789,Data!P789,"d"),0)</f>
        <v>0</v>
      </c>
      <c r="O789" s="81">
        <f>IF(Data!M789="CD",1,0)</f>
        <v>0</v>
      </c>
      <c r="P789" s="81">
        <f>IF(Data!M789="CD",0,1)</f>
        <v>1</v>
      </c>
      <c r="Q789" s="81">
        <f>IF(Data!Q789&gt;Data!P789,DATEDIF(Data!P789,Data!Q789,"d"),0)</f>
        <v>0</v>
      </c>
      <c r="R789" s="81">
        <f>IF(Data!R789&gt;Data!Q789,DATEDIF(Data!Q789,Data!R789,"d"),0)</f>
        <v>0</v>
      </c>
    </row>
    <row r="790" spans="3:18" x14ac:dyDescent="0.2">
      <c r="C790" s="80">
        <f t="shared" ca="1" si="26"/>
        <v>45959</v>
      </c>
      <c r="D790" s="81">
        <f>IF(Data!I790&lt;&gt;"",DATEDIF(Data!I790,C790,"m"),0)</f>
        <v>0</v>
      </c>
      <c r="E790" s="82">
        <f t="shared" si="27"/>
        <v>0</v>
      </c>
      <c r="I790" s="81" t="str">
        <f>CONCATENATE(Data!M790,"-",Data!L790)</f>
        <v>-</v>
      </c>
      <c r="N790" s="81">
        <f>IF(Data!P790,DATEDIF(Data!O790,Data!P790,"d"),0)</f>
        <v>0</v>
      </c>
      <c r="O790" s="81">
        <f>IF(Data!M790="CD",1,0)</f>
        <v>0</v>
      </c>
      <c r="P790" s="81">
        <f>IF(Data!M790="CD",0,1)</f>
        <v>1</v>
      </c>
      <c r="Q790" s="81">
        <f>IF(Data!Q790&gt;Data!P790,DATEDIF(Data!P790,Data!Q790,"d"),0)</f>
        <v>0</v>
      </c>
      <c r="R790" s="81">
        <f>IF(Data!R790&gt;Data!Q790,DATEDIF(Data!Q790,Data!R790,"d"),0)</f>
        <v>0</v>
      </c>
    </row>
    <row r="791" spans="3:18" x14ac:dyDescent="0.2">
      <c r="C791" s="80">
        <f t="shared" ca="1" si="26"/>
        <v>45959</v>
      </c>
      <c r="D791" s="81">
        <f>IF(Data!I791&lt;&gt;"",DATEDIF(Data!I791,C791,"m"),0)</f>
        <v>0</v>
      </c>
      <c r="E791" s="82">
        <f t="shared" si="27"/>
        <v>0</v>
      </c>
      <c r="I791" s="81" t="str">
        <f>CONCATENATE(Data!M791,"-",Data!L791)</f>
        <v>-</v>
      </c>
      <c r="N791" s="81">
        <f>IF(Data!P791,DATEDIF(Data!O791,Data!P791,"d"),0)</f>
        <v>0</v>
      </c>
      <c r="O791" s="81">
        <f>IF(Data!M791="CD",1,0)</f>
        <v>0</v>
      </c>
      <c r="P791" s="81">
        <f>IF(Data!M791="CD",0,1)</f>
        <v>1</v>
      </c>
      <c r="Q791" s="81">
        <f>IF(Data!Q791&gt;Data!P791,DATEDIF(Data!P791,Data!Q791,"d"),0)</f>
        <v>0</v>
      </c>
      <c r="R791" s="81">
        <f>IF(Data!R791&gt;Data!Q791,DATEDIF(Data!Q791,Data!R791,"d"),0)</f>
        <v>0</v>
      </c>
    </row>
    <row r="792" spans="3:18" x14ac:dyDescent="0.2">
      <c r="C792" s="80">
        <f t="shared" ca="1" si="26"/>
        <v>45959</v>
      </c>
      <c r="D792" s="81">
        <f>IF(Data!I792&lt;&gt;"",DATEDIF(Data!I792,C792,"m"),0)</f>
        <v>0</v>
      </c>
      <c r="E792" s="82">
        <f t="shared" si="27"/>
        <v>0</v>
      </c>
      <c r="I792" s="81" t="str">
        <f>CONCATENATE(Data!M792,"-",Data!L792)</f>
        <v>-</v>
      </c>
      <c r="N792" s="81">
        <f>IF(Data!P792,DATEDIF(Data!O792,Data!P792,"d"),0)</f>
        <v>0</v>
      </c>
      <c r="O792" s="81">
        <f>IF(Data!M792="CD",1,0)</f>
        <v>0</v>
      </c>
      <c r="P792" s="81">
        <f>IF(Data!M792="CD",0,1)</f>
        <v>1</v>
      </c>
      <c r="Q792" s="81">
        <f>IF(Data!Q792&gt;Data!P792,DATEDIF(Data!P792,Data!Q792,"d"),0)</f>
        <v>0</v>
      </c>
      <c r="R792" s="81">
        <f>IF(Data!R792&gt;Data!Q792,DATEDIF(Data!Q792,Data!R792,"d"),0)</f>
        <v>0</v>
      </c>
    </row>
    <row r="793" spans="3:18" x14ac:dyDescent="0.2">
      <c r="C793" s="80">
        <f t="shared" ca="1" si="26"/>
        <v>45959</v>
      </c>
      <c r="D793" s="81">
        <f>IF(Data!I793&lt;&gt;"",DATEDIF(Data!I793,C793,"m"),0)</f>
        <v>0</v>
      </c>
      <c r="E793" s="82">
        <f t="shared" si="27"/>
        <v>0</v>
      </c>
      <c r="I793" s="81" t="str">
        <f>CONCATENATE(Data!M793,"-",Data!L793)</f>
        <v>-</v>
      </c>
      <c r="N793" s="81">
        <f>IF(Data!P793,DATEDIF(Data!O793,Data!P793,"d"),0)</f>
        <v>0</v>
      </c>
      <c r="O793" s="81">
        <f>IF(Data!M793="CD",1,0)</f>
        <v>0</v>
      </c>
      <c r="P793" s="81">
        <f>IF(Data!M793="CD",0,1)</f>
        <v>1</v>
      </c>
      <c r="Q793" s="81">
        <f>IF(Data!Q793&gt;Data!P793,DATEDIF(Data!P793,Data!Q793,"d"),0)</f>
        <v>0</v>
      </c>
      <c r="R793" s="81">
        <f>IF(Data!R793&gt;Data!Q793,DATEDIF(Data!Q793,Data!R793,"d"),0)</f>
        <v>0</v>
      </c>
    </row>
    <row r="794" spans="3:18" x14ac:dyDescent="0.2">
      <c r="C794" s="80">
        <f t="shared" ca="1" si="26"/>
        <v>45959</v>
      </c>
      <c r="D794" s="81">
        <f>IF(Data!I794&lt;&gt;"",DATEDIF(Data!I794,C794,"m"),0)</f>
        <v>0</v>
      </c>
      <c r="E794" s="82">
        <f t="shared" si="27"/>
        <v>0</v>
      </c>
      <c r="I794" s="81" t="str">
        <f>CONCATENATE(Data!M794,"-",Data!L794)</f>
        <v>-</v>
      </c>
      <c r="N794" s="81">
        <f>IF(Data!P794,DATEDIF(Data!O794,Data!P794,"d"),0)</f>
        <v>0</v>
      </c>
      <c r="O794" s="81">
        <f>IF(Data!M794="CD",1,0)</f>
        <v>0</v>
      </c>
      <c r="P794" s="81">
        <f>IF(Data!M794="CD",0,1)</f>
        <v>1</v>
      </c>
      <c r="Q794" s="81">
        <f>IF(Data!Q794&gt;Data!P794,DATEDIF(Data!P794,Data!Q794,"d"),0)</f>
        <v>0</v>
      </c>
      <c r="R794" s="81">
        <f>IF(Data!R794&gt;Data!Q794,DATEDIF(Data!Q794,Data!R794,"d"),0)</f>
        <v>0</v>
      </c>
    </row>
    <row r="795" spans="3:18" x14ac:dyDescent="0.2">
      <c r="C795" s="80">
        <f t="shared" ca="1" si="26"/>
        <v>45959</v>
      </c>
      <c r="D795" s="81">
        <f>IF(Data!I795&lt;&gt;"",DATEDIF(Data!I795,C795,"m"),0)</f>
        <v>0</v>
      </c>
      <c r="E795" s="82">
        <f t="shared" si="27"/>
        <v>0</v>
      </c>
      <c r="I795" s="81" t="str">
        <f>CONCATENATE(Data!M795,"-",Data!L795)</f>
        <v>-</v>
      </c>
      <c r="N795" s="81">
        <f>IF(Data!P795,DATEDIF(Data!O795,Data!P795,"d"),0)</f>
        <v>0</v>
      </c>
      <c r="O795" s="81">
        <f>IF(Data!M795="CD",1,0)</f>
        <v>0</v>
      </c>
      <c r="P795" s="81">
        <f>IF(Data!M795="CD",0,1)</f>
        <v>1</v>
      </c>
      <c r="Q795" s="81">
        <f>IF(Data!Q795&gt;Data!P795,DATEDIF(Data!P795,Data!Q795,"d"),0)</f>
        <v>0</v>
      </c>
      <c r="R795" s="81">
        <f>IF(Data!R795&gt;Data!Q795,DATEDIF(Data!Q795,Data!R795,"d"),0)</f>
        <v>0</v>
      </c>
    </row>
    <row r="796" spans="3:18" x14ac:dyDescent="0.2">
      <c r="C796" s="80">
        <f t="shared" ca="1" si="26"/>
        <v>45959</v>
      </c>
      <c r="D796" s="81">
        <f>IF(Data!I796&lt;&gt;"",DATEDIF(Data!I796,C796,"m"),0)</f>
        <v>0</v>
      </c>
      <c r="E796" s="82">
        <f t="shared" si="27"/>
        <v>0</v>
      </c>
      <c r="I796" s="81" t="str">
        <f>CONCATENATE(Data!M796,"-",Data!L796)</f>
        <v>-</v>
      </c>
      <c r="N796" s="81">
        <f>IF(Data!P796,DATEDIF(Data!O796,Data!P796,"d"),0)</f>
        <v>0</v>
      </c>
      <c r="O796" s="81">
        <f>IF(Data!M796="CD",1,0)</f>
        <v>0</v>
      </c>
      <c r="P796" s="81">
        <f>IF(Data!M796="CD",0,1)</f>
        <v>1</v>
      </c>
      <c r="Q796" s="81">
        <f>IF(Data!Q796&gt;Data!P796,DATEDIF(Data!P796,Data!Q796,"d"),0)</f>
        <v>0</v>
      </c>
      <c r="R796" s="81">
        <f>IF(Data!R796&gt;Data!Q796,DATEDIF(Data!Q796,Data!R796,"d"),0)</f>
        <v>0</v>
      </c>
    </row>
    <row r="797" spans="3:18" x14ac:dyDescent="0.2">
      <c r="C797" s="80">
        <f t="shared" ca="1" si="26"/>
        <v>45959</v>
      </c>
      <c r="D797" s="81">
        <f>IF(Data!I797&lt;&gt;"",DATEDIF(Data!I797,C797,"m"),0)</f>
        <v>0</v>
      </c>
      <c r="E797" s="82">
        <f t="shared" si="27"/>
        <v>0</v>
      </c>
      <c r="I797" s="81" t="str">
        <f>CONCATENATE(Data!M797,"-",Data!L797)</f>
        <v>-</v>
      </c>
      <c r="N797" s="81">
        <f>IF(Data!P797,DATEDIF(Data!O797,Data!P797,"d"),0)</f>
        <v>0</v>
      </c>
      <c r="O797" s="81">
        <f>IF(Data!M797="CD",1,0)</f>
        <v>0</v>
      </c>
      <c r="P797" s="81">
        <f>IF(Data!M797="CD",0,1)</f>
        <v>1</v>
      </c>
      <c r="Q797" s="81">
        <f>IF(Data!Q797&gt;Data!P797,DATEDIF(Data!P797,Data!Q797,"d"),0)</f>
        <v>0</v>
      </c>
      <c r="R797" s="81">
        <f>IF(Data!R797&gt;Data!Q797,DATEDIF(Data!Q797,Data!R797,"d"),0)</f>
        <v>0</v>
      </c>
    </row>
    <row r="798" spans="3:18" x14ac:dyDescent="0.2">
      <c r="C798" s="80">
        <f t="shared" ca="1" si="26"/>
        <v>45959</v>
      </c>
      <c r="D798" s="81">
        <f>IF(Data!I798&lt;&gt;"",DATEDIF(Data!I798,C798,"m"),0)</f>
        <v>0</v>
      </c>
      <c r="E798" s="82">
        <f t="shared" si="27"/>
        <v>0</v>
      </c>
      <c r="I798" s="81" t="str">
        <f>CONCATENATE(Data!M798,"-",Data!L798)</f>
        <v>-</v>
      </c>
      <c r="N798" s="81">
        <f>IF(Data!P798,DATEDIF(Data!O798,Data!P798,"d"),0)</f>
        <v>0</v>
      </c>
      <c r="O798" s="81">
        <f>IF(Data!M798="CD",1,0)</f>
        <v>0</v>
      </c>
      <c r="P798" s="81">
        <f>IF(Data!M798="CD",0,1)</f>
        <v>1</v>
      </c>
      <c r="Q798" s="81">
        <f>IF(Data!Q798&gt;Data!P798,DATEDIF(Data!P798,Data!Q798,"d"),0)</f>
        <v>0</v>
      </c>
      <c r="R798" s="81">
        <f>IF(Data!R798&gt;Data!Q798,DATEDIF(Data!Q798,Data!R798,"d"),0)</f>
        <v>0</v>
      </c>
    </row>
    <row r="799" spans="3:18" x14ac:dyDescent="0.2">
      <c r="C799" s="80">
        <f t="shared" ca="1" si="26"/>
        <v>45959</v>
      </c>
      <c r="D799" s="81">
        <f>IF(Data!I799&lt;&gt;"",DATEDIF(Data!I799,C799,"m"),0)</f>
        <v>0</v>
      </c>
      <c r="E799" s="82">
        <f t="shared" si="27"/>
        <v>0</v>
      </c>
      <c r="I799" s="81" t="str">
        <f>CONCATENATE(Data!M799,"-",Data!L799)</f>
        <v>-</v>
      </c>
      <c r="N799" s="81">
        <f>IF(Data!P799,DATEDIF(Data!O799,Data!P799,"d"),0)</f>
        <v>0</v>
      </c>
      <c r="O799" s="81">
        <f>IF(Data!M799="CD",1,0)</f>
        <v>0</v>
      </c>
      <c r="P799" s="81">
        <f>IF(Data!M799="CD",0,1)</f>
        <v>1</v>
      </c>
      <c r="Q799" s="81">
        <f>IF(Data!Q799&gt;Data!P799,DATEDIF(Data!P799,Data!Q799,"d"),0)</f>
        <v>0</v>
      </c>
      <c r="R799" s="81">
        <f>IF(Data!R799&gt;Data!Q799,DATEDIF(Data!Q799,Data!R799,"d"),0)</f>
        <v>0</v>
      </c>
    </row>
    <row r="800" spans="3:18" x14ac:dyDescent="0.2">
      <c r="C800" s="80">
        <f t="shared" ca="1" si="26"/>
        <v>45959</v>
      </c>
      <c r="D800" s="81">
        <f>IF(Data!I800&lt;&gt;"",DATEDIF(Data!I800,C800,"m"),0)</f>
        <v>0</v>
      </c>
      <c r="E800" s="82">
        <f t="shared" si="27"/>
        <v>0</v>
      </c>
      <c r="I800" s="81" t="str">
        <f>CONCATENATE(Data!M800,"-",Data!L800)</f>
        <v>-</v>
      </c>
      <c r="N800" s="81">
        <f>IF(Data!P800,DATEDIF(Data!O800,Data!P800,"d"),0)</f>
        <v>0</v>
      </c>
      <c r="O800" s="81">
        <f>IF(Data!M800="CD",1,0)</f>
        <v>0</v>
      </c>
      <c r="P800" s="81">
        <f>IF(Data!M800="CD",0,1)</f>
        <v>1</v>
      </c>
      <c r="Q800" s="81">
        <f>IF(Data!Q800&gt;Data!P800,DATEDIF(Data!P800,Data!Q800,"d"),0)</f>
        <v>0</v>
      </c>
      <c r="R800" s="81">
        <f>IF(Data!R800&gt;Data!Q800,DATEDIF(Data!Q800,Data!R800,"d"),0)</f>
        <v>0</v>
      </c>
    </row>
    <row r="801" spans="3:18" x14ac:dyDescent="0.2">
      <c r="C801" s="80">
        <f t="shared" ca="1" si="26"/>
        <v>45959</v>
      </c>
      <c r="D801" s="81">
        <f>IF(Data!I801&lt;&gt;"",DATEDIF(Data!I801,C801,"m"),0)</f>
        <v>0</v>
      </c>
      <c r="E801" s="82">
        <f t="shared" si="27"/>
        <v>0</v>
      </c>
      <c r="I801" s="81" t="str">
        <f>CONCATENATE(Data!M801,"-",Data!L801)</f>
        <v>-</v>
      </c>
      <c r="N801" s="81">
        <f>IF(Data!P801,DATEDIF(Data!O801,Data!P801,"d"),0)</f>
        <v>0</v>
      </c>
      <c r="O801" s="81">
        <f>IF(Data!M801="CD",1,0)</f>
        <v>0</v>
      </c>
      <c r="P801" s="81">
        <f>IF(Data!M801="CD",0,1)</f>
        <v>1</v>
      </c>
      <c r="Q801" s="81">
        <f>IF(Data!Q801&gt;Data!P801,DATEDIF(Data!P801,Data!Q801,"d"),0)</f>
        <v>0</v>
      </c>
      <c r="R801" s="81">
        <f>IF(Data!R801&gt;Data!Q801,DATEDIF(Data!Q801,Data!R801,"d"),0)</f>
        <v>0</v>
      </c>
    </row>
    <row r="802" spans="3:18" x14ac:dyDescent="0.2">
      <c r="C802" s="80">
        <f t="shared" ca="1" si="26"/>
        <v>45959</v>
      </c>
      <c r="D802" s="81">
        <f>IF(Data!I802&lt;&gt;"",DATEDIF(Data!I802,C802,"m"),0)</f>
        <v>0</v>
      </c>
      <c r="E802" s="82">
        <f t="shared" si="27"/>
        <v>0</v>
      </c>
      <c r="I802" s="81" t="str">
        <f>CONCATENATE(Data!M802,"-",Data!L802)</f>
        <v>-</v>
      </c>
      <c r="N802" s="81">
        <f>IF(Data!P802,DATEDIF(Data!O802,Data!P802,"d"),0)</f>
        <v>0</v>
      </c>
      <c r="O802" s="81">
        <f>IF(Data!M802="CD",1,0)</f>
        <v>0</v>
      </c>
      <c r="P802" s="81">
        <f>IF(Data!M802="CD",0,1)</f>
        <v>1</v>
      </c>
      <c r="Q802" s="81">
        <f>IF(Data!Q802&gt;Data!P802,DATEDIF(Data!P802,Data!Q802,"d"),0)</f>
        <v>0</v>
      </c>
      <c r="R802" s="81">
        <f>IF(Data!R802&gt;Data!Q802,DATEDIF(Data!Q802,Data!R802,"d"),0)</f>
        <v>0</v>
      </c>
    </row>
    <row r="803" spans="3:18" x14ac:dyDescent="0.2">
      <c r="C803" s="80">
        <f t="shared" ca="1" si="26"/>
        <v>45959</v>
      </c>
      <c r="D803" s="81">
        <f>IF(Data!I803&lt;&gt;"",DATEDIF(Data!I803,C803,"m"),0)</f>
        <v>0</v>
      </c>
      <c r="E803" s="82">
        <f t="shared" si="27"/>
        <v>0</v>
      </c>
      <c r="I803" s="81" t="str">
        <f>CONCATENATE(Data!M803,"-",Data!L803)</f>
        <v>-</v>
      </c>
      <c r="N803" s="81">
        <f>IF(Data!P803,DATEDIF(Data!O803,Data!P803,"d"),0)</f>
        <v>0</v>
      </c>
      <c r="O803" s="81">
        <f>IF(Data!M803="CD",1,0)</f>
        <v>0</v>
      </c>
      <c r="P803" s="81">
        <f>IF(Data!M803="CD",0,1)</f>
        <v>1</v>
      </c>
      <c r="Q803" s="81">
        <f>IF(Data!Q803&gt;Data!P803,DATEDIF(Data!P803,Data!Q803,"d"),0)</f>
        <v>0</v>
      </c>
      <c r="R803" s="81">
        <f>IF(Data!R803&gt;Data!Q803,DATEDIF(Data!Q803,Data!R803,"d"),0)</f>
        <v>0</v>
      </c>
    </row>
    <row r="804" spans="3:18" x14ac:dyDescent="0.2">
      <c r="C804" s="80">
        <f t="shared" ca="1" si="26"/>
        <v>45959</v>
      </c>
      <c r="D804" s="81">
        <f>IF(Data!I804&lt;&gt;"",DATEDIF(Data!I804,C804,"m"),0)</f>
        <v>0</v>
      </c>
      <c r="E804" s="82">
        <f t="shared" si="27"/>
        <v>0</v>
      </c>
      <c r="I804" s="81" t="str">
        <f>CONCATENATE(Data!M804,"-",Data!L804)</f>
        <v>-</v>
      </c>
      <c r="N804" s="81">
        <f>IF(Data!P804,DATEDIF(Data!O804,Data!P804,"d"),0)</f>
        <v>0</v>
      </c>
      <c r="O804" s="81">
        <f>IF(Data!M804="CD",1,0)</f>
        <v>0</v>
      </c>
      <c r="P804" s="81">
        <f>IF(Data!M804="CD",0,1)</f>
        <v>1</v>
      </c>
      <c r="Q804" s="81">
        <f>IF(Data!Q804&gt;Data!P804,DATEDIF(Data!P804,Data!Q804,"d"),0)</f>
        <v>0</v>
      </c>
      <c r="R804" s="81">
        <f>IF(Data!R804&gt;Data!Q804,DATEDIF(Data!Q804,Data!R804,"d"),0)</f>
        <v>0</v>
      </c>
    </row>
    <row r="805" spans="3:18" x14ac:dyDescent="0.2">
      <c r="C805" s="80">
        <f t="shared" ca="1" si="26"/>
        <v>45959</v>
      </c>
      <c r="D805" s="81">
        <f>IF(Data!I805&lt;&gt;"",DATEDIF(Data!I805,C805,"m"),0)</f>
        <v>0</v>
      </c>
      <c r="E805" s="82">
        <f t="shared" si="27"/>
        <v>0</v>
      </c>
      <c r="I805" s="81" t="str">
        <f>CONCATENATE(Data!M805,"-",Data!L805)</f>
        <v>-</v>
      </c>
      <c r="N805" s="81">
        <f>IF(Data!P805,DATEDIF(Data!O805,Data!P805,"d"),0)</f>
        <v>0</v>
      </c>
      <c r="O805" s="81">
        <f>IF(Data!M805="CD",1,0)</f>
        <v>0</v>
      </c>
      <c r="P805" s="81">
        <f>IF(Data!M805="CD",0,1)</f>
        <v>1</v>
      </c>
      <c r="Q805" s="81">
        <f>IF(Data!Q805&gt;Data!P805,DATEDIF(Data!P805,Data!Q805,"d"),0)</f>
        <v>0</v>
      </c>
      <c r="R805" s="81">
        <f>IF(Data!R805&gt;Data!Q805,DATEDIF(Data!Q805,Data!R805,"d"),0)</f>
        <v>0</v>
      </c>
    </row>
    <row r="806" spans="3:18" x14ac:dyDescent="0.2">
      <c r="C806" s="80">
        <f t="shared" ca="1" si="26"/>
        <v>45959</v>
      </c>
      <c r="D806" s="81">
        <f>IF(Data!I806&lt;&gt;"",DATEDIF(Data!I806,C806,"m"),0)</f>
        <v>0</v>
      </c>
      <c r="E806" s="82">
        <f t="shared" si="27"/>
        <v>0</v>
      </c>
      <c r="I806" s="81" t="str">
        <f>CONCATENATE(Data!M806,"-",Data!L806)</f>
        <v>-</v>
      </c>
      <c r="N806" s="81">
        <f>IF(Data!P806,DATEDIF(Data!O806,Data!P806,"d"),0)</f>
        <v>0</v>
      </c>
      <c r="O806" s="81">
        <f>IF(Data!M806="CD",1,0)</f>
        <v>0</v>
      </c>
      <c r="P806" s="81">
        <f>IF(Data!M806="CD",0,1)</f>
        <v>1</v>
      </c>
      <c r="Q806" s="81">
        <f>IF(Data!Q806&gt;Data!P806,DATEDIF(Data!P806,Data!Q806,"d"),0)</f>
        <v>0</v>
      </c>
      <c r="R806" s="81">
        <f>IF(Data!R806&gt;Data!Q806,DATEDIF(Data!Q806,Data!R806,"d"),0)</f>
        <v>0</v>
      </c>
    </row>
    <row r="807" spans="3:18" x14ac:dyDescent="0.2">
      <c r="C807" s="80">
        <f t="shared" ca="1" si="26"/>
        <v>45959</v>
      </c>
      <c r="D807" s="81">
        <f>IF(Data!I807&lt;&gt;"",DATEDIF(Data!I807,C807,"m"),0)</f>
        <v>0</v>
      </c>
      <c r="E807" s="82">
        <f t="shared" si="27"/>
        <v>0</v>
      </c>
      <c r="I807" s="81" t="str">
        <f>CONCATENATE(Data!M807,"-",Data!L807)</f>
        <v>-</v>
      </c>
      <c r="N807" s="81">
        <f>IF(Data!P807,DATEDIF(Data!O807,Data!P807,"d"),0)</f>
        <v>0</v>
      </c>
      <c r="O807" s="81">
        <f>IF(Data!M807="CD",1,0)</f>
        <v>0</v>
      </c>
      <c r="P807" s="81">
        <f>IF(Data!M807="CD",0,1)</f>
        <v>1</v>
      </c>
      <c r="Q807" s="81">
        <f>IF(Data!Q807&gt;Data!P807,DATEDIF(Data!P807,Data!Q807,"d"),0)</f>
        <v>0</v>
      </c>
      <c r="R807" s="81">
        <f>IF(Data!R807&gt;Data!Q807,DATEDIF(Data!Q807,Data!R807,"d"),0)</f>
        <v>0</v>
      </c>
    </row>
    <row r="808" spans="3:18" x14ac:dyDescent="0.2">
      <c r="C808" s="80">
        <f t="shared" ca="1" si="26"/>
        <v>45959</v>
      </c>
      <c r="D808" s="81">
        <f>IF(Data!I808&lt;&gt;"",DATEDIF(Data!I808,C808,"m"),0)</f>
        <v>0</v>
      </c>
      <c r="E808" s="82">
        <f t="shared" si="27"/>
        <v>0</v>
      </c>
      <c r="I808" s="81" t="str">
        <f>CONCATENATE(Data!M808,"-",Data!L808)</f>
        <v>-</v>
      </c>
      <c r="N808" s="81">
        <f>IF(Data!P808,DATEDIF(Data!O808,Data!P808,"d"),0)</f>
        <v>0</v>
      </c>
      <c r="O808" s="81">
        <f>IF(Data!M808="CD",1,0)</f>
        <v>0</v>
      </c>
      <c r="P808" s="81">
        <f>IF(Data!M808="CD",0,1)</f>
        <v>1</v>
      </c>
      <c r="Q808" s="81">
        <f>IF(Data!Q808&gt;Data!P808,DATEDIF(Data!P808,Data!Q808,"d"),0)</f>
        <v>0</v>
      </c>
      <c r="R808" s="81">
        <f>IF(Data!R808&gt;Data!Q808,DATEDIF(Data!Q808,Data!R808,"d"),0)</f>
        <v>0</v>
      </c>
    </row>
    <row r="809" spans="3:18" x14ac:dyDescent="0.2">
      <c r="C809" s="80">
        <f t="shared" ca="1" si="26"/>
        <v>45959</v>
      </c>
      <c r="D809" s="81">
        <f>IF(Data!I809&lt;&gt;"",DATEDIF(Data!I809,C809,"m"),0)</f>
        <v>0</v>
      </c>
      <c r="E809" s="82">
        <f t="shared" si="27"/>
        <v>0</v>
      </c>
      <c r="I809" s="81" t="str">
        <f>CONCATENATE(Data!M809,"-",Data!L809)</f>
        <v>-</v>
      </c>
      <c r="N809" s="81">
        <f>IF(Data!P809,DATEDIF(Data!O809,Data!P809,"d"),0)</f>
        <v>0</v>
      </c>
      <c r="O809" s="81">
        <f>IF(Data!M809="CD",1,0)</f>
        <v>0</v>
      </c>
      <c r="P809" s="81">
        <f>IF(Data!M809="CD",0,1)</f>
        <v>1</v>
      </c>
      <c r="Q809" s="81">
        <f>IF(Data!Q809&gt;Data!P809,DATEDIF(Data!P809,Data!Q809,"d"),0)</f>
        <v>0</v>
      </c>
      <c r="R809" s="81">
        <f>IF(Data!R809&gt;Data!Q809,DATEDIF(Data!Q809,Data!R809,"d"),0)</f>
        <v>0</v>
      </c>
    </row>
    <row r="810" spans="3:18" x14ac:dyDescent="0.2">
      <c r="C810" s="80">
        <f t="shared" ca="1" si="26"/>
        <v>45959</v>
      </c>
      <c r="D810" s="81">
        <f>IF(Data!I810&lt;&gt;"",DATEDIF(Data!I810,C810,"m"),0)</f>
        <v>0</v>
      </c>
      <c r="E810" s="82">
        <f t="shared" si="27"/>
        <v>0</v>
      </c>
      <c r="I810" s="81" t="str">
        <f>CONCATENATE(Data!M810,"-",Data!L810)</f>
        <v>-</v>
      </c>
      <c r="N810" s="81">
        <f>IF(Data!P810,DATEDIF(Data!O810,Data!P810,"d"),0)</f>
        <v>0</v>
      </c>
      <c r="O810" s="81">
        <f>IF(Data!M810="CD",1,0)</f>
        <v>0</v>
      </c>
      <c r="P810" s="81">
        <f>IF(Data!M810="CD",0,1)</f>
        <v>1</v>
      </c>
      <c r="Q810" s="81">
        <f>IF(Data!Q810&gt;Data!P810,DATEDIF(Data!P810,Data!Q810,"d"),0)</f>
        <v>0</v>
      </c>
      <c r="R810" s="81">
        <f>IF(Data!R810&gt;Data!Q810,DATEDIF(Data!Q810,Data!R810,"d"),0)</f>
        <v>0</v>
      </c>
    </row>
    <row r="811" spans="3:18" x14ac:dyDescent="0.2">
      <c r="C811" s="80">
        <f t="shared" ca="1" si="26"/>
        <v>45959</v>
      </c>
      <c r="D811" s="81">
        <f>IF(Data!I811&lt;&gt;"",DATEDIF(Data!I811,C811,"m"),0)</f>
        <v>0</v>
      </c>
      <c r="E811" s="82">
        <f t="shared" si="27"/>
        <v>0</v>
      </c>
      <c r="I811" s="81" t="str">
        <f>CONCATENATE(Data!M811,"-",Data!L811)</f>
        <v>-</v>
      </c>
      <c r="N811" s="81">
        <f>IF(Data!P811,DATEDIF(Data!O811,Data!P811,"d"),0)</f>
        <v>0</v>
      </c>
      <c r="O811" s="81">
        <f>IF(Data!M811="CD",1,0)</f>
        <v>0</v>
      </c>
      <c r="P811" s="81">
        <f>IF(Data!M811="CD",0,1)</f>
        <v>1</v>
      </c>
      <c r="Q811" s="81">
        <f>IF(Data!Q811&gt;Data!P811,DATEDIF(Data!P811,Data!Q811,"d"),0)</f>
        <v>0</v>
      </c>
      <c r="R811" s="81">
        <f>IF(Data!R811&gt;Data!Q811,DATEDIF(Data!Q811,Data!R811,"d"),0)</f>
        <v>0</v>
      </c>
    </row>
    <row r="812" spans="3:18" x14ac:dyDescent="0.2">
      <c r="C812" s="80">
        <f t="shared" ca="1" si="26"/>
        <v>45959</v>
      </c>
      <c r="D812" s="81">
        <f>IF(Data!I812&lt;&gt;"",DATEDIF(Data!I812,C812,"m"),0)</f>
        <v>0</v>
      </c>
      <c r="E812" s="82">
        <f t="shared" si="27"/>
        <v>0</v>
      </c>
      <c r="I812" s="81" t="str">
        <f>CONCATENATE(Data!M812,"-",Data!L812)</f>
        <v>-</v>
      </c>
      <c r="N812" s="81">
        <f>IF(Data!P812,DATEDIF(Data!O812,Data!P812,"d"),0)</f>
        <v>0</v>
      </c>
      <c r="O812" s="81">
        <f>IF(Data!M812="CD",1,0)</f>
        <v>0</v>
      </c>
      <c r="P812" s="81">
        <f>IF(Data!M812="CD",0,1)</f>
        <v>1</v>
      </c>
      <c r="Q812" s="81">
        <f>IF(Data!Q812&gt;Data!P812,DATEDIF(Data!P812,Data!Q812,"d"),0)</f>
        <v>0</v>
      </c>
      <c r="R812" s="81">
        <f>IF(Data!R812&gt;Data!Q812,DATEDIF(Data!Q812,Data!R812,"d"),0)</f>
        <v>0</v>
      </c>
    </row>
    <row r="813" spans="3:18" x14ac:dyDescent="0.2">
      <c r="C813" s="80">
        <f t="shared" ca="1" si="26"/>
        <v>45959</v>
      </c>
      <c r="D813" s="81">
        <f>IF(Data!I813&lt;&gt;"",DATEDIF(Data!I813,C813,"m"),0)</f>
        <v>0</v>
      </c>
      <c r="E813" s="82">
        <f t="shared" si="27"/>
        <v>0</v>
      </c>
      <c r="I813" s="81" t="str">
        <f>CONCATENATE(Data!M813,"-",Data!L813)</f>
        <v>-</v>
      </c>
      <c r="N813" s="81">
        <f>IF(Data!P813,DATEDIF(Data!O813,Data!P813,"d"),0)</f>
        <v>0</v>
      </c>
      <c r="O813" s="81">
        <f>IF(Data!M813="CD",1,0)</f>
        <v>0</v>
      </c>
      <c r="P813" s="81">
        <f>IF(Data!M813="CD",0,1)</f>
        <v>1</v>
      </c>
      <c r="Q813" s="81">
        <f>IF(Data!Q813&gt;Data!P813,DATEDIF(Data!P813,Data!Q813,"d"),0)</f>
        <v>0</v>
      </c>
      <c r="R813" s="81">
        <f>IF(Data!R813&gt;Data!Q813,DATEDIF(Data!Q813,Data!R813,"d"),0)</f>
        <v>0</v>
      </c>
    </row>
    <row r="814" spans="3:18" x14ac:dyDescent="0.2">
      <c r="C814" s="80">
        <f t="shared" ca="1" si="26"/>
        <v>45959</v>
      </c>
      <c r="D814" s="81">
        <f>IF(Data!I814&lt;&gt;"",DATEDIF(Data!I814,C814,"m"),0)</f>
        <v>0</v>
      </c>
      <c r="E814" s="82">
        <f t="shared" si="27"/>
        <v>0</v>
      </c>
      <c r="I814" s="81" t="str">
        <f>CONCATENATE(Data!M814,"-",Data!L814)</f>
        <v>-</v>
      </c>
      <c r="N814" s="81">
        <f>IF(Data!P814,DATEDIF(Data!O814,Data!P814,"d"),0)</f>
        <v>0</v>
      </c>
      <c r="O814" s="81">
        <f>IF(Data!M814="CD",1,0)</f>
        <v>0</v>
      </c>
      <c r="P814" s="81">
        <f>IF(Data!M814="CD",0,1)</f>
        <v>1</v>
      </c>
      <c r="Q814" s="81">
        <f>IF(Data!Q814&gt;Data!P814,DATEDIF(Data!P814,Data!Q814,"d"),0)</f>
        <v>0</v>
      </c>
      <c r="R814" s="81">
        <f>IF(Data!R814&gt;Data!Q814,DATEDIF(Data!Q814,Data!R814,"d"),0)</f>
        <v>0</v>
      </c>
    </row>
    <row r="815" spans="3:18" x14ac:dyDescent="0.2">
      <c r="C815" s="80">
        <f t="shared" ca="1" si="26"/>
        <v>45959</v>
      </c>
      <c r="D815" s="81">
        <f>IF(Data!I815&lt;&gt;"",DATEDIF(Data!I815,C815,"m"),0)</f>
        <v>0</v>
      </c>
      <c r="E815" s="82">
        <f t="shared" si="27"/>
        <v>0</v>
      </c>
      <c r="I815" s="81" t="str">
        <f>CONCATENATE(Data!M815,"-",Data!L815)</f>
        <v>-</v>
      </c>
      <c r="N815" s="81">
        <f>IF(Data!P815,DATEDIF(Data!O815,Data!P815,"d"),0)</f>
        <v>0</v>
      </c>
      <c r="O815" s="81">
        <f>IF(Data!M815="CD",1,0)</f>
        <v>0</v>
      </c>
      <c r="P815" s="81">
        <f>IF(Data!M815="CD",0,1)</f>
        <v>1</v>
      </c>
      <c r="Q815" s="81">
        <f>IF(Data!Q815&gt;Data!P815,DATEDIF(Data!P815,Data!Q815,"d"),0)</f>
        <v>0</v>
      </c>
      <c r="R815" s="81">
        <f>IF(Data!R815&gt;Data!Q815,DATEDIF(Data!Q815,Data!R815,"d"),0)</f>
        <v>0</v>
      </c>
    </row>
    <row r="816" spans="3:18" x14ac:dyDescent="0.2">
      <c r="C816" s="80">
        <f t="shared" ca="1" si="26"/>
        <v>45959</v>
      </c>
      <c r="D816" s="81">
        <f>IF(Data!I816&lt;&gt;"",DATEDIF(Data!I816,C816,"m"),0)</f>
        <v>0</v>
      </c>
      <c r="E816" s="82">
        <f t="shared" si="27"/>
        <v>0</v>
      </c>
      <c r="I816" s="81" t="str">
        <f>CONCATENATE(Data!M816,"-",Data!L816)</f>
        <v>-</v>
      </c>
      <c r="N816" s="81">
        <f>IF(Data!P816,DATEDIF(Data!O816,Data!P816,"d"),0)</f>
        <v>0</v>
      </c>
      <c r="O816" s="81">
        <f>IF(Data!M816="CD",1,0)</f>
        <v>0</v>
      </c>
      <c r="P816" s="81">
        <f>IF(Data!M816="CD",0,1)</f>
        <v>1</v>
      </c>
      <c r="Q816" s="81">
        <f>IF(Data!Q816&gt;Data!P816,DATEDIF(Data!P816,Data!Q816,"d"),0)</f>
        <v>0</v>
      </c>
      <c r="R816" s="81">
        <f>IF(Data!R816&gt;Data!Q816,DATEDIF(Data!Q816,Data!R816,"d"),0)</f>
        <v>0</v>
      </c>
    </row>
    <row r="817" spans="3:18" x14ac:dyDescent="0.2">
      <c r="C817" s="80">
        <f t="shared" ca="1" si="26"/>
        <v>45959</v>
      </c>
      <c r="D817" s="81">
        <f>IF(Data!I817&lt;&gt;"",DATEDIF(Data!I817,C817,"m"),0)</f>
        <v>0</v>
      </c>
      <c r="E817" s="82">
        <f t="shared" si="27"/>
        <v>0</v>
      </c>
      <c r="I817" s="81" t="str">
        <f>CONCATENATE(Data!M817,"-",Data!L817)</f>
        <v>-</v>
      </c>
      <c r="N817" s="81">
        <f>IF(Data!P817,DATEDIF(Data!O817,Data!P817,"d"),0)</f>
        <v>0</v>
      </c>
      <c r="O817" s="81">
        <f>IF(Data!M817="CD",1,0)</f>
        <v>0</v>
      </c>
      <c r="P817" s="81">
        <f>IF(Data!M817="CD",0,1)</f>
        <v>1</v>
      </c>
      <c r="Q817" s="81">
        <f>IF(Data!Q817&gt;Data!P817,DATEDIF(Data!P817,Data!Q817,"d"),0)</f>
        <v>0</v>
      </c>
      <c r="R817" s="81">
        <f>IF(Data!R817&gt;Data!Q817,DATEDIF(Data!Q817,Data!R817,"d"),0)</f>
        <v>0</v>
      </c>
    </row>
    <row r="818" spans="3:18" x14ac:dyDescent="0.2">
      <c r="C818" s="80">
        <f t="shared" ca="1" si="26"/>
        <v>45959</v>
      </c>
      <c r="D818" s="81">
        <f>IF(Data!I818&lt;&gt;"",DATEDIF(Data!I818,C818,"m"),0)</f>
        <v>0</v>
      </c>
      <c r="E818" s="82">
        <f t="shared" si="27"/>
        <v>0</v>
      </c>
      <c r="I818" s="81" t="str">
        <f>CONCATENATE(Data!M818,"-",Data!L818)</f>
        <v>-</v>
      </c>
      <c r="N818" s="81">
        <f>IF(Data!P818,DATEDIF(Data!O818,Data!P818,"d"),0)</f>
        <v>0</v>
      </c>
      <c r="O818" s="81">
        <f>IF(Data!M818="CD",1,0)</f>
        <v>0</v>
      </c>
      <c r="P818" s="81">
        <f>IF(Data!M818="CD",0,1)</f>
        <v>1</v>
      </c>
      <c r="Q818" s="81">
        <f>IF(Data!Q818&gt;Data!P818,DATEDIF(Data!P818,Data!Q818,"d"),0)</f>
        <v>0</v>
      </c>
      <c r="R818" s="81">
        <f>IF(Data!R818&gt;Data!Q818,DATEDIF(Data!Q818,Data!R818,"d"),0)</f>
        <v>0</v>
      </c>
    </row>
    <row r="819" spans="3:18" x14ac:dyDescent="0.2">
      <c r="C819" s="80">
        <f t="shared" ca="1" si="26"/>
        <v>45959</v>
      </c>
      <c r="D819" s="81">
        <f>IF(Data!I819&lt;&gt;"",DATEDIF(Data!I819,C819,"m"),0)</f>
        <v>0</v>
      </c>
      <c r="E819" s="82">
        <f t="shared" si="27"/>
        <v>0</v>
      </c>
      <c r="I819" s="81" t="str">
        <f>CONCATENATE(Data!M819,"-",Data!L819)</f>
        <v>-</v>
      </c>
      <c r="N819" s="81">
        <f>IF(Data!P819,DATEDIF(Data!O819,Data!P819,"d"),0)</f>
        <v>0</v>
      </c>
      <c r="O819" s="81">
        <f>IF(Data!M819="CD",1,0)</f>
        <v>0</v>
      </c>
      <c r="P819" s="81">
        <f>IF(Data!M819="CD",0,1)</f>
        <v>1</v>
      </c>
      <c r="Q819" s="81">
        <f>IF(Data!Q819&gt;Data!P819,DATEDIF(Data!P819,Data!Q819,"d"),0)</f>
        <v>0</v>
      </c>
      <c r="R819" s="81">
        <f>IF(Data!R819&gt;Data!Q819,DATEDIF(Data!Q819,Data!R819,"d"),0)</f>
        <v>0</v>
      </c>
    </row>
    <row r="820" spans="3:18" x14ac:dyDescent="0.2">
      <c r="C820" s="80">
        <f t="shared" ca="1" si="26"/>
        <v>45959</v>
      </c>
      <c r="D820" s="81">
        <f>IF(Data!I820&lt;&gt;"",DATEDIF(Data!I820,C820,"m"),0)</f>
        <v>0</v>
      </c>
      <c r="E820" s="82">
        <f t="shared" si="27"/>
        <v>0</v>
      </c>
      <c r="I820" s="81" t="str">
        <f>CONCATENATE(Data!M820,"-",Data!L820)</f>
        <v>-</v>
      </c>
      <c r="N820" s="81">
        <f>IF(Data!P820,DATEDIF(Data!O820,Data!P820,"d"),0)</f>
        <v>0</v>
      </c>
      <c r="O820" s="81">
        <f>IF(Data!M820="CD",1,0)</f>
        <v>0</v>
      </c>
      <c r="P820" s="81">
        <f>IF(Data!M820="CD",0,1)</f>
        <v>1</v>
      </c>
      <c r="Q820" s="81">
        <f>IF(Data!Q820&gt;Data!P820,DATEDIF(Data!P820,Data!Q820,"d"),0)</f>
        <v>0</v>
      </c>
      <c r="R820" s="81">
        <f>IF(Data!R820&gt;Data!Q820,DATEDIF(Data!Q820,Data!R820,"d"),0)</f>
        <v>0</v>
      </c>
    </row>
    <row r="821" spans="3:18" x14ac:dyDescent="0.2">
      <c r="C821" s="80">
        <f t="shared" ca="1" si="26"/>
        <v>45959</v>
      </c>
      <c r="D821" s="81">
        <f>IF(Data!I821&lt;&gt;"",DATEDIF(Data!I821,C821,"m"),0)</f>
        <v>0</v>
      </c>
      <c r="E821" s="82">
        <f t="shared" si="27"/>
        <v>0</v>
      </c>
      <c r="I821" s="81" t="str">
        <f>CONCATENATE(Data!M821,"-",Data!L821)</f>
        <v>-</v>
      </c>
      <c r="N821" s="81">
        <f>IF(Data!P821,DATEDIF(Data!O821,Data!P821,"d"),0)</f>
        <v>0</v>
      </c>
      <c r="O821" s="81">
        <f>IF(Data!M821="CD",1,0)</f>
        <v>0</v>
      </c>
      <c r="P821" s="81">
        <f>IF(Data!M821="CD",0,1)</f>
        <v>1</v>
      </c>
      <c r="Q821" s="81">
        <f>IF(Data!Q821&gt;Data!P821,DATEDIF(Data!P821,Data!Q821,"d"),0)</f>
        <v>0</v>
      </c>
      <c r="R821" s="81">
        <f>IF(Data!R821&gt;Data!Q821,DATEDIF(Data!Q821,Data!R821,"d"),0)</f>
        <v>0</v>
      </c>
    </row>
    <row r="822" spans="3:18" x14ac:dyDescent="0.2">
      <c r="C822" s="80">
        <f t="shared" ca="1" si="26"/>
        <v>45959</v>
      </c>
      <c r="D822" s="81">
        <f>IF(Data!I822&lt;&gt;"",DATEDIF(Data!I822,C822,"m"),0)</f>
        <v>0</v>
      </c>
      <c r="E822" s="82">
        <f t="shared" si="27"/>
        <v>0</v>
      </c>
      <c r="I822" s="81" t="str">
        <f>CONCATENATE(Data!M822,"-",Data!L822)</f>
        <v>-</v>
      </c>
      <c r="N822" s="81">
        <f>IF(Data!P822,DATEDIF(Data!O822,Data!P822,"d"),0)</f>
        <v>0</v>
      </c>
      <c r="O822" s="81">
        <f>IF(Data!M822="CD",1,0)</f>
        <v>0</v>
      </c>
      <c r="P822" s="81">
        <f>IF(Data!M822="CD",0,1)</f>
        <v>1</v>
      </c>
      <c r="Q822" s="81">
        <f>IF(Data!Q822&gt;Data!P822,DATEDIF(Data!P822,Data!Q822,"d"),0)</f>
        <v>0</v>
      </c>
      <c r="R822" s="81">
        <f>IF(Data!R822&gt;Data!Q822,DATEDIF(Data!Q822,Data!R822,"d"),0)</f>
        <v>0</v>
      </c>
    </row>
    <row r="823" spans="3:18" x14ac:dyDescent="0.2">
      <c r="C823" s="80">
        <f t="shared" ca="1" si="26"/>
        <v>45959</v>
      </c>
      <c r="D823" s="81">
        <f>IF(Data!I823&lt;&gt;"",DATEDIF(Data!I823,C823,"m"),0)</f>
        <v>0</v>
      </c>
      <c r="E823" s="82">
        <f t="shared" si="27"/>
        <v>0</v>
      </c>
      <c r="I823" s="81" t="str">
        <f>CONCATENATE(Data!M823,"-",Data!L823)</f>
        <v>-</v>
      </c>
      <c r="N823" s="81">
        <f>IF(Data!P823,DATEDIF(Data!O823,Data!P823,"d"),0)</f>
        <v>0</v>
      </c>
      <c r="O823" s="81">
        <f>IF(Data!M823="CD",1,0)</f>
        <v>0</v>
      </c>
      <c r="P823" s="81">
        <f>IF(Data!M823="CD",0,1)</f>
        <v>1</v>
      </c>
      <c r="Q823" s="81">
        <f>IF(Data!Q823&gt;Data!P823,DATEDIF(Data!P823,Data!Q823,"d"),0)</f>
        <v>0</v>
      </c>
      <c r="R823" s="81">
        <f>IF(Data!R823&gt;Data!Q823,DATEDIF(Data!Q823,Data!R823,"d"),0)</f>
        <v>0</v>
      </c>
    </row>
    <row r="824" spans="3:18" x14ac:dyDescent="0.2">
      <c r="C824" s="80">
        <f t="shared" ca="1" si="26"/>
        <v>45959</v>
      </c>
      <c r="D824" s="81">
        <f>IF(Data!I824&lt;&gt;"",DATEDIF(Data!I824,C824,"m"),0)</f>
        <v>0</v>
      </c>
      <c r="E824" s="82">
        <f t="shared" si="27"/>
        <v>0</v>
      </c>
      <c r="I824" s="81" t="str">
        <f>CONCATENATE(Data!M824,"-",Data!L824)</f>
        <v>-</v>
      </c>
      <c r="N824" s="81">
        <f>IF(Data!P824,DATEDIF(Data!O824,Data!P824,"d"),0)</f>
        <v>0</v>
      </c>
      <c r="O824" s="81">
        <f>IF(Data!M824="CD",1,0)</f>
        <v>0</v>
      </c>
      <c r="P824" s="81">
        <f>IF(Data!M824="CD",0,1)</f>
        <v>1</v>
      </c>
      <c r="Q824" s="81">
        <f>IF(Data!Q824&gt;Data!P824,DATEDIF(Data!P824,Data!Q824,"d"),0)</f>
        <v>0</v>
      </c>
      <c r="R824" s="81">
        <f>IF(Data!R824&gt;Data!Q824,DATEDIF(Data!Q824,Data!R824,"d"),0)</f>
        <v>0</v>
      </c>
    </row>
    <row r="825" spans="3:18" x14ac:dyDescent="0.2">
      <c r="C825" s="80">
        <f t="shared" ca="1" si="26"/>
        <v>45959</v>
      </c>
      <c r="D825" s="81">
        <f>IF(Data!I825&lt;&gt;"",DATEDIF(Data!I825,C825,"m"),0)</f>
        <v>0</v>
      </c>
      <c r="E825" s="82">
        <f t="shared" si="27"/>
        <v>0</v>
      </c>
      <c r="I825" s="81" t="str">
        <f>CONCATENATE(Data!M825,"-",Data!L825)</f>
        <v>-</v>
      </c>
      <c r="N825" s="81">
        <f>IF(Data!P825,DATEDIF(Data!O825,Data!P825,"d"),0)</f>
        <v>0</v>
      </c>
      <c r="O825" s="81">
        <f>IF(Data!M825="CD",1,0)</f>
        <v>0</v>
      </c>
      <c r="P825" s="81">
        <f>IF(Data!M825="CD",0,1)</f>
        <v>1</v>
      </c>
      <c r="Q825" s="81">
        <f>IF(Data!Q825&gt;Data!P825,DATEDIF(Data!P825,Data!Q825,"d"),0)</f>
        <v>0</v>
      </c>
      <c r="R825" s="81">
        <f>IF(Data!R825&gt;Data!Q825,DATEDIF(Data!Q825,Data!R825,"d"),0)</f>
        <v>0</v>
      </c>
    </row>
    <row r="826" spans="3:18" x14ac:dyDescent="0.2">
      <c r="C826" s="80">
        <f t="shared" ca="1" si="26"/>
        <v>45959</v>
      </c>
      <c r="D826" s="81">
        <f>IF(Data!I826&lt;&gt;"",DATEDIF(Data!I826,C826,"m"),0)</f>
        <v>0</v>
      </c>
      <c r="E826" s="82">
        <f t="shared" si="27"/>
        <v>0</v>
      </c>
      <c r="I826" s="81" t="str">
        <f>CONCATENATE(Data!M826,"-",Data!L826)</f>
        <v>-</v>
      </c>
      <c r="N826" s="81">
        <f>IF(Data!P826,DATEDIF(Data!O826,Data!P826,"d"),0)</f>
        <v>0</v>
      </c>
      <c r="O826" s="81">
        <f>IF(Data!M826="CD",1,0)</f>
        <v>0</v>
      </c>
      <c r="P826" s="81">
        <f>IF(Data!M826="CD",0,1)</f>
        <v>1</v>
      </c>
      <c r="Q826" s="81">
        <f>IF(Data!Q826&gt;Data!P826,DATEDIF(Data!P826,Data!Q826,"d"),0)</f>
        <v>0</v>
      </c>
      <c r="R826" s="81">
        <f>IF(Data!R826&gt;Data!Q826,DATEDIF(Data!Q826,Data!R826,"d"),0)</f>
        <v>0</v>
      </c>
    </row>
    <row r="827" spans="3:18" x14ac:dyDescent="0.2">
      <c r="C827" s="80">
        <f t="shared" ca="1" si="26"/>
        <v>45959</v>
      </c>
      <c r="D827" s="81">
        <f>IF(Data!I827&lt;&gt;"",DATEDIF(Data!I827,C827,"m"),0)</f>
        <v>0</v>
      </c>
      <c r="E827" s="82">
        <f t="shared" si="27"/>
        <v>0</v>
      </c>
      <c r="I827" s="81" t="str">
        <f>CONCATENATE(Data!M827,"-",Data!L827)</f>
        <v>-</v>
      </c>
      <c r="N827" s="81">
        <f>IF(Data!P827,DATEDIF(Data!O827,Data!P827,"d"),0)</f>
        <v>0</v>
      </c>
      <c r="O827" s="81">
        <f>IF(Data!M827="CD",1,0)</f>
        <v>0</v>
      </c>
      <c r="P827" s="81">
        <f>IF(Data!M827="CD",0,1)</f>
        <v>1</v>
      </c>
      <c r="Q827" s="81">
        <f>IF(Data!Q827&gt;Data!P827,DATEDIF(Data!P827,Data!Q827,"d"),0)</f>
        <v>0</v>
      </c>
      <c r="R827" s="81">
        <f>IF(Data!R827&gt;Data!Q827,DATEDIF(Data!Q827,Data!R827,"d"),0)</f>
        <v>0</v>
      </c>
    </row>
    <row r="828" spans="3:18" x14ac:dyDescent="0.2">
      <c r="C828" s="80">
        <f t="shared" ca="1" si="26"/>
        <v>45959</v>
      </c>
      <c r="D828" s="81">
        <f>IF(Data!I828&lt;&gt;"",DATEDIF(Data!I828,C828,"m"),0)</f>
        <v>0</v>
      </c>
      <c r="E828" s="82">
        <f t="shared" si="27"/>
        <v>0</v>
      </c>
      <c r="I828" s="81" t="str">
        <f>CONCATENATE(Data!M828,"-",Data!L828)</f>
        <v>-</v>
      </c>
      <c r="N828" s="81">
        <f>IF(Data!P828,DATEDIF(Data!O828,Data!P828,"d"),0)</f>
        <v>0</v>
      </c>
      <c r="O828" s="81">
        <f>IF(Data!M828="CD",1,0)</f>
        <v>0</v>
      </c>
      <c r="P828" s="81">
        <f>IF(Data!M828="CD",0,1)</f>
        <v>1</v>
      </c>
      <c r="Q828" s="81">
        <f>IF(Data!Q828&gt;Data!P828,DATEDIF(Data!P828,Data!Q828,"d"),0)</f>
        <v>0</v>
      </c>
      <c r="R828" s="81">
        <f>IF(Data!R828&gt;Data!Q828,DATEDIF(Data!Q828,Data!R828,"d"),0)</f>
        <v>0</v>
      </c>
    </row>
    <row r="829" spans="3:18" x14ac:dyDescent="0.2">
      <c r="C829" s="80">
        <f t="shared" ca="1" si="26"/>
        <v>45959</v>
      </c>
      <c r="D829" s="81">
        <f>IF(Data!I829&lt;&gt;"",DATEDIF(Data!I829,C829,"m"),0)</f>
        <v>0</v>
      </c>
      <c r="E829" s="82">
        <f t="shared" si="27"/>
        <v>0</v>
      </c>
      <c r="I829" s="81" t="str">
        <f>CONCATENATE(Data!M829,"-",Data!L829)</f>
        <v>-</v>
      </c>
      <c r="N829" s="81">
        <f>IF(Data!P829,DATEDIF(Data!O829,Data!P829,"d"),0)</f>
        <v>0</v>
      </c>
      <c r="O829" s="81">
        <f>IF(Data!M829="CD",1,0)</f>
        <v>0</v>
      </c>
      <c r="P829" s="81">
        <f>IF(Data!M829="CD",0,1)</f>
        <v>1</v>
      </c>
      <c r="Q829" s="81">
        <f>IF(Data!Q829&gt;Data!P829,DATEDIF(Data!P829,Data!Q829,"d"),0)</f>
        <v>0</v>
      </c>
      <c r="R829" s="81">
        <f>IF(Data!R829&gt;Data!Q829,DATEDIF(Data!Q829,Data!R829,"d"),0)</f>
        <v>0</v>
      </c>
    </row>
    <row r="830" spans="3:18" x14ac:dyDescent="0.2">
      <c r="C830" s="80">
        <f t="shared" ca="1" si="26"/>
        <v>45959</v>
      </c>
      <c r="D830" s="81">
        <f>IF(Data!I830&lt;&gt;"",DATEDIF(Data!I830,C830,"m"),0)</f>
        <v>0</v>
      </c>
      <c r="E830" s="82">
        <f t="shared" si="27"/>
        <v>0</v>
      </c>
      <c r="I830" s="81" t="str">
        <f>CONCATENATE(Data!M830,"-",Data!L830)</f>
        <v>-</v>
      </c>
      <c r="N830" s="81">
        <f>IF(Data!P830,DATEDIF(Data!O830,Data!P830,"d"),0)</f>
        <v>0</v>
      </c>
      <c r="O830" s="81">
        <f>IF(Data!M830="CD",1,0)</f>
        <v>0</v>
      </c>
      <c r="P830" s="81">
        <f>IF(Data!M830="CD",0,1)</f>
        <v>1</v>
      </c>
      <c r="Q830" s="81">
        <f>IF(Data!Q830&gt;Data!P830,DATEDIF(Data!P830,Data!Q830,"d"),0)</f>
        <v>0</v>
      </c>
      <c r="R830" s="81">
        <f>IF(Data!R830&gt;Data!Q830,DATEDIF(Data!Q830,Data!R830,"d"),0)</f>
        <v>0</v>
      </c>
    </row>
    <row r="831" spans="3:18" x14ac:dyDescent="0.2">
      <c r="C831" s="80">
        <f t="shared" ca="1" si="26"/>
        <v>45959</v>
      </c>
      <c r="D831" s="81">
        <f>IF(Data!I831&lt;&gt;"",DATEDIF(Data!I831,C831,"m"),0)</f>
        <v>0</v>
      </c>
      <c r="E831" s="82">
        <f t="shared" si="27"/>
        <v>0</v>
      </c>
      <c r="I831" s="81" t="str">
        <f>CONCATENATE(Data!M831,"-",Data!L831)</f>
        <v>-</v>
      </c>
      <c r="N831" s="81">
        <f>IF(Data!P831,DATEDIF(Data!O831,Data!P831,"d"),0)</f>
        <v>0</v>
      </c>
      <c r="O831" s="81">
        <f>IF(Data!M831="CD",1,0)</f>
        <v>0</v>
      </c>
      <c r="P831" s="81">
        <f>IF(Data!M831="CD",0,1)</f>
        <v>1</v>
      </c>
      <c r="Q831" s="81">
        <f>IF(Data!Q831&gt;Data!P831,DATEDIF(Data!P831,Data!Q831,"d"),0)</f>
        <v>0</v>
      </c>
      <c r="R831" s="81">
        <f>IF(Data!R831&gt;Data!Q831,DATEDIF(Data!Q831,Data!R831,"d"),0)</f>
        <v>0</v>
      </c>
    </row>
    <row r="832" spans="3:18" x14ac:dyDescent="0.2">
      <c r="C832" s="80">
        <f t="shared" ca="1" si="26"/>
        <v>45959</v>
      </c>
      <c r="D832" s="81">
        <f>IF(Data!I832&lt;&gt;"",DATEDIF(Data!I832,C832,"m"),0)</f>
        <v>0</v>
      </c>
      <c r="E832" s="82">
        <f t="shared" si="27"/>
        <v>0</v>
      </c>
      <c r="I832" s="81" t="str">
        <f>CONCATENATE(Data!M832,"-",Data!L832)</f>
        <v>-</v>
      </c>
      <c r="N832" s="81">
        <f>IF(Data!P832,DATEDIF(Data!O832,Data!P832,"d"),0)</f>
        <v>0</v>
      </c>
      <c r="O832" s="81">
        <f>IF(Data!M832="CD",1,0)</f>
        <v>0</v>
      </c>
      <c r="P832" s="81">
        <f>IF(Data!M832="CD",0,1)</f>
        <v>1</v>
      </c>
      <c r="Q832" s="81">
        <f>IF(Data!Q832&gt;Data!P832,DATEDIF(Data!P832,Data!Q832,"d"),0)</f>
        <v>0</v>
      </c>
      <c r="R832" s="81">
        <f>IF(Data!R832&gt;Data!Q832,DATEDIF(Data!Q832,Data!R832,"d"),0)</f>
        <v>0</v>
      </c>
    </row>
    <row r="833" spans="3:18" x14ac:dyDescent="0.2">
      <c r="C833" s="80">
        <f t="shared" ca="1" si="26"/>
        <v>45959</v>
      </c>
      <c r="D833" s="81">
        <f>IF(Data!I833&lt;&gt;"",DATEDIF(Data!I833,C833,"m"),0)</f>
        <v>0</v>
      </c>
      <c r="E833" s="82">
        <f t="shared" si="27"/>
        <v>0</v>
      </c>
      <c r="I833" s="81" t="str">
        <f>CONCATENATE(Data!M833,"-",Data!L833)</f>
        <v>-</v>
      </c>
      <c r="N833" s="81">
        <f>IF(Data!P833,DATEDIF(Data!O833,Data!P833,"d"),0)</f>
        <v>0</v>
      </c>
      <c r="O833" s="81">
        <f>IF(Data!M833="CD",1,0)</f>
        <v>0</v>
      </c>
      <c r="P833" s="81">
        <f>IF(Data!M833="CD",0,1)</f>
        <v>1</v>
      </c>
      <c r="Q833" s="81">
        <f>IF(Data!Q833&gt;Data!P833,DATEDIF(Data!P833,Data!Q833,"d"),0)</f>
        <v>0</v>
      </c>
      <c r="R833" s="81">
        <f>IF(Data!R833&gt;Data!Q833,DATEDIF(Data!Q833,Data!R833,"d"),0)</f>
        <v>0</v>
      </c>
    </row>
    <row r="834" spans="3:18" x14ac:dyDescent="0.2">
      <c r="C834" s="80">
        <f t="shared" ref="C834:C897" ca="1" si="28">TODAY()</f>
        <v>45959</v>
      </c>
      <c r="D834" s="81">
        <f>IF(Data!I834&lt;&gt;"",DATEDIF(Data!I834,C834,"m"),0)</f>
        <v>0</v>
      </c>
      <c r="E834" s="82">
        <f t="shared" si="27"/>
        <v>0</v>
      </c>
      <c r="I834" s="81" t="str">
        <f>CONCATENATE(Data!M834,"-",Data!L834)</f>
        <v>-</v>
      </c>
      <c r="N834" s="81">
        <f>IF(Data!P834,DATEDIF(Data!O834,Data!P834,"d"),0)</f>
        <v>0</v>
      </c>
      <c r="O834" s="81">
        <f>IF(Data!M834="CD",1,0)</f>
        <v>0</v>
      </c>
      <c r="P834" s="81">
        <f>IF(Data!M834="CD",0,1)</f>
        <v>1</v>
      </c>
      <c r="Q834" s="81">
        <f>IF(Data!Q834&gt;Data!P834,DATEDIF(Data!P834,Data!Q834,"d"),0)</f>
        <v>0</v>
      </c>
      <c r="R834" s="81">
        <f>IF(Data!R834&gt;Data!Q834,DATEDIF(Data!Q834,Data!R834,"d"),0)</f>
        <v>0</v>
      </c>
    </row>
    <row r="835" spans="3:18" x14ac:dyDescent="0.2">
      <c r="C835" s="80">
        <f t="shared" ca="1" si="28"/>
        <v>45959</v>
      </c>
      <c r="D835" s="81">
        <f>IF(Data!I835&lt;&gt;"",DATEDIF(Data!I835,C835,"m"),0)</f>
        <v>0</v>
      </c>
      <c r="E835" s="82">
        <f t="shared" ref="E835:E898" si="29">D835/12</f>
        <v>0</v>
      </c>
      <c r="I835" s="81" t="str">
        <f>CONCATENATE(Data!M835,"-",Data!L835)</f>
        <v>-</v>
      </c>
      <c r="N835" s="81">
        <f>IF(Data!P835,DATEDIF(Data!O835,Data!P835,"d"),0)</f>
        <v>0</v>
      </c>
      <c r="O835" s="81">
        <f>IF(Data!M835="CD",1,0)</f>
        <v>0</v>
      </c>
      <c r="P835" s="81">
        <f>IF(Data!M835="CD",0,1)</f>
        <v>1</v>
      </c>
      <c r="Q835" s="81">
        <f>IF(Data!Q835&gt;Data!P835,DATEDIF(Data!P835,Data!Q835,"d"),0)</f>
        <v>0</v>
      </c>
      <c r="R835" s="81">
        <f>IF(Data!R835&gt;Data!Q835,DATEDIF(Data!Q835,Data!R835,"d"),0)</f>
        <v>0</v>
      </c>
    </row>
    <row r="836" spans="3:18" x14ac:dyDescent="0.2">
      <c r="C836" s="80">
        <f t="shared" ca="1" si="28"/>
        <v>45959</v>
      </c>
      <c r="D836" s="81">
        <f>IF(Data!I836&lt;&gt;"",DATEDIF(Data!I836,C836,"m"),0)</f>
        <v>0</v>
      </c>
      <c r="E836" s="82">
        <f t="shared" si="29"/>
        <v>0</v>
      </c>
      <c r="I836" s="81" t="str">
        <f>CONCATENATE(Data!M836,"-",Data!L836)</f>
        <v>-</v>
      </c>
      <c r="N836" s="81">
        <f>IF(Data!P836,DATEDIF(Data!O836,Data!P836,"d"),0)</f>
        <v>0</v>
      </c>
      <c r="O836" s="81">
        <f>IF(Data!M836="CD",1,0)</f>
        <v>0</v>
      </c>
      <c r="P836" s="81">
        <f>IF(Data!M836="CD",0,1)</f>
        <v>1</v>
      </c>
      <c r="Q836" s="81">
        <f>IF(Data!Q836&gt;Data!P836,DATEDIF(Data!P836,Data!Q836,"d"),0)</f>
        <v>0</v>
      </c>
      <c r="R836" s="81">
        <f>IF(Data!R836&gt;Data!Q836,DATEDIF(Data!Q836,Data!R836,"d"),0)</f>
        <v>0</v>
      </c>
    </row>
    <row r="837" spans="3:18" x14ac:dyDescent="0.2">
      <c r="C837" s="80">
        <f t="shared" ca="1" si="28"/>
        <v>45959</v>
      </c>
      <c r="D837" s="81">
        <f>IF(Data!I837&lt;&gt;"",DATEDIF(Data!I837,C837,"m"),0)</f>
        <v>0</v>
      </c>
      <c r="E837" s="82">
        <f t="shared" si="29"/>
        <v>0</v>
      </c>
      <c r="I837" s="81" t="str">
        <f>CONCATENATE(Data!M837,"-",Data!L837)</f>
        <v>-</v>
      </c>
      <c r="N837" s="81">
        <f>IF(Data!P837,DATEDIF(Data!O837,Data!P837,"d"),0)</f>
        <v>0</v>
      </c>
      <c r="O837" s="81">
        <f>IF(Data!M837="CD",1,0)</f>
        <v>0</v>
      </c>
      <c r="P837" s="81">
        <f>IF(Data!M837="CD",0,1)</f>
        <v>1</v>
      </c>
      <c r="Q837" s="81">
        <f>IF(Data!Q837&gt;Data!P837,DATEDIF(Data!P837,Data!Q837,"d"),0)</f>
        <v>0</v>
      </c>
      <c r="R837" s="81">
        <f>IF(Data!R837&gt;Data!Q837,DATEDIF(Data!Q837,Data!R837,"d"),0)</f>
        <v>0</v>
      </c>
    </row>
    <row r="838" spans="3:18" x14ac:dyDescent="0.2">
      <c r="C838" s="80">
        <f t="shared" ca="1" si="28"/>
        <v>45959</v>
      </c>
      <c r="D838" s="81">
        <f>IF(Data!I838&lt;&gt;"",DATEDIF(Data!I838,C838,"m"),0)</f>
        <v>0</v>
      </c>
      <c r="E838" s="82">
        <f t="shared" si="29"/>
        <v>0</v>
      </c>
      <c r="I838" s="81" t="str">
        <f>CONCATENATE(Data!M838,"-",Data!L838)</f>
        <v>-</v>
      </c>
      <c r="N838" s="81">
        <f>IF(Data!P838,DATEDIF(Data!O838,Data!P838,"d"),0)</f>
        <v>0</v>
      </c>
      <c r="O838" s="81">
        <f>IF(Data!M838="CD",1,0)</f>
        <v>0</v>
      </c>
      <c r="P838" s="81">
        <f>IF(Data!M838="CD",0,1)</f>
        <v>1</v>
      </c>
      <c r="Q838" s="81">
        <f>IF(Data!Q838&gt;Data!P838,DATEDIF(Data!P838,Data!Q838,"d"),0)</f>
        <v>0</v>
      </c>
      <c r="R838" s="81">
        <f>IF(Data!R838&gt;Data!Q838,DATEDIF(Data!Q838,Data!R838,"d"),0)</f>
        <v>0</v>
      </c>
    </row>
    <row r="839" spans="3:18" x14ac:dyDescent="0.2">
      <c r="C839" s="80">
        <f t="shared" ca="1" si="28"/>
        <v>45959</v>
      </c>
      <c r="D839" s="81">
        <f>IF(Data!I839&lt;&gt;"",DATEDIF(Data!I839,C839,"m"),0)</f>
        <v>0</v>
      </c>
      <c r="E839" s="82">
        <f t="shared" si="29"/>
        <v>0</v>
      </c>
      <c r="I839" s="81" t="str">
        <f>CONCATENATE(Data!M839,"-",Data!L839)</f>
        <v>-</v>
      </c>
      <c r="N839" s="81">
        <f>IF(Data!P839,DATEDIF(Data!O839,Data!P839,"d"),0)</f>
        <v>0</v>
      </c>
      <c r="O839" s="81">
        <f>IF(Data!M839="CD",1,0)</f>
        <v>0</v>
      </c>
      <c r="P839" s="81">
        <f>IF(Data!M839="CD",0,1)</f>
        <v>1</v>
      </c>
      <c r="Q839" s="81">
        <f>IF(Data!Q839&gt;Data!P839,DATEDIF(Data!P839,Data!Q839,"d"),0)</f>
        <v>0</v>
      </c>
      <c r="R839" s="81">
        <f>IF(Data!R839&gt;Data!Q839,DATEDIF(Data!Q839,Data!R839,"d"),0)</f>
        <v>0</v>
      </c>
    </row>
    <row r="840" spans="3:18" x14ac:dyDescent="0.2">
      <c r="C840" s="80">
        <f t="shared" ca="1" si="28"/>
        <v>45959</v>
      </c>
      <c r="D840" s="81">
        <f>IF(Data!I840&lt;&gt;"",DATEDIF(Data!I840,C840,"m"),0)</f>
        <v>0</v>
      </c>
      <c r="E840" s="82">
        <f t="shared" si="29"/>
        <v>0</v>
      </c>
      <c r="I840" s="81" t="str">
        <f>CONCATENATE(Data!M840,"-",Data!L840)</f>
        <v>-</v>
      </c>
      <c r="N840" s="81">
        <f>IF(Data!P840,DATEDIF(Data!O840,Data!P840,"d"),0)</f>
        <v>0</v>
      </c>
      <c r="O840" s="81">
        <f>IF(Data!M840="CD",1,0)</f>
        <v>0</v>
      </c>
      <c r="P840" s="81">
        <f>IF(Data!M840="CD",0,1)</f>
        <v>1</v>
      </c>
      <c r="Q840" s="81">
        <f>IF(Data!Q840&gt;Data!P840,DATEDIF(Data!P840,Data!Q840,"d"),0)</f>
        <v>0</v>
      </c>
      <c r="R840" s="81">
        <f>IF(Data!R840&gt;Data!Q840,DATEDIF(Data!Q840,Data!R840,"d"),0)</f>
        <v>0</v>
      </c>
    </row>
    <row r="841" spans="3:18" x14ac:dyDescent="0.2">
      <c r="C841" s="80">
        <f t="shared" ca="1" si="28"/>
        <v>45959</v>
      </c>
      <c r="D841" s="81">
        <f>IF(Data!I841&lt;&gt;"",DATEDIF(Data!I841,C841,"m"),0)</f>
        <v>0</v>
      </c>
      <c r="E841" s="82">
        <f t="shared" si="29"/>
        <v>0</v>
      </c>
      <c r="I841" s="81" t="str">
        <f>CONCATENATE(Data!M841,"-",Data!L841)</f>
        <v>-</v>
      </c>
      <c r="N841" s="81">
        <f>IF(Data!P841,DATEDIF(Data!O841,Data!P841,"d"),0)</f>
        <v>0</v>
      </c>
      <c r="O841" s="81">
        <f>IF(Data!M841="CD",1,0)</f>
        <v>0</v>
      </c>
      <c r="P841" s="81">
        <f>IF(Data!M841="CD",0,1)</f>
        <v>1</v>
      </c>
      <c r="Q841" s="81">
        <f>IF(Data!Q841&gt;Data!P841,DATEDIF(Data!P841,Data!Q841,"d"),0)</f>
        <v>0</v>
      </c>
      <c r="R841" s="81">
        <f>IF(Data!R841&gt;Data!Q841,DATEDIF(Data!Q841,Data!R841,"d"),0)</f>
        <v>0</v>
      </c>
    </row>
    <row r="842" spans="3:18" x14ac:dyDescent="0.2">
      <c r="C842" s="80">
        <f t="shared" ca="1" si="28"/>
        <v>45959</v>
      </c>
      <c r="D842" s="81">
        <f>IF(Data!I842&lt;&gt;"",DATEDIF(Data!I842,C842,"m"),0)</f>
        <v>0</v>
      </c>
      <c r="E842" s="82">
        <f t="shared" si="29"/>
        <v>0</v>
      </c>
      <c r="I842" s="81" t="str">
        <f>CONCATENATE(Data!M842,"-",Data!L842)</f>
        <v>-</v>
      </c>
      <c r="N842" s="81">
        <f>IF(Data!P842,DATEDIF(Data!O842,Data!P842,"d"),0)</f>
        <v>0</v>
      </c>
      <c r="O842" s="81">
        <f>IF(Data!M842="CD",1,0)</f>
        <v>0</v>
      </c>
      <c r="P842" s="81">
        <f>IF(Data!M842="CD",0,1)</f>
        <v>1</v>
      </c>
      <c r="Q842" s="81">
        <f>IF(Data!Q842&gt;Data!P842,DATEDIF(Data!P842,Data!Q842,"d"),0)</f>
        <v>0</v>
      </c>
      <c r="R842" s="81">
        <f>IF(Data!R842&gt;Data!Q842,DATEDIF(Data!Q842,Data!R842,"d"),0)</f>
        <v>0</v>
      </c>
    </row>
    <row r="843" spans="3:18" x14ac:dyDescent="0.2">
      <c r="C843" s="80">
        <f t="shared" ca="1" si="28"/>
        <v>45959</v>
      </c>
      <c r="D843" s="81">
        <f>IF(Data!I843&lt;&gt;"",DATEDIF(Data!I843,C843,"m"),0)</f>
        <v>0</v>
      </c>
      <c r="E843" s="82">
        <f t="shared" si="29"/>
        <v>0</v>
      </c>
      <c r="I843" s="81" t="str">
        <f>CONCATENATE(Data!M843,"-",Data!L843)</f>
        <v>-</v>
      </c>
      <c r="N843" s="81">
        <f>IF(Data!P843,DATEDIF(Data!O843,Data!P843,"d"),0)</f>
        <v>0</v>
      </c>
      <c r="O843" s="81">
        <f>IF(Data!M843="CD",1,0)</f>
        <v>0</v>
      </c>
      <c r="P843" s="81">
        <f>IF(Data!M843="CD",0,1)</f>
        <v>1</v>
      </c>
      <c r="Q843" s="81">
        <f>IF(Data!Q843&gt;Data!P843,DATEDIF(Data!P843,Data!Q843,"d"),0)</f>
        <v>0</v>
      </c>
      <c r="R843" s="81">
        <f>IF(Data!R843&gt;Data!Q843,DATEDIF(Data!Q843,Data!R843,"d"),0)</f>
        <v>0</v>
      </c>
    </row>
    <row r="844" spans="3:18" x14ac:dyDescent="0.2">
      <c r="C844" s="80">
        <f t="shared" ca="1" si="28"/>
        <v>45959</v>
      </c>
      <c r="D844" s="81">
        <f>IF(Data!I844&lt;&gt;"",DATEDIF(Data!I844,C844,"m"),0)</f>
        <v>0</v>
      </c>
      <c r="E844" s="82">
        <f t="shared" si="29"/>
        <v>0</v>
      </c>
      <c r="I844" s="81" t="str">
        <f>CONCATENATE(Data!M844,"-",Data!L844)</f>
        <v>-</v>
      </c>
      <c r="N844" s="81">
        <f>IF(Data!P844,DATEDIF(Data!O844,Data!P844,"d"),0)</f>
        <v>0</v>
      </c>
      <c r="O844" s="81">
        <f>IF(Data!M844="CD",1,0)</f>
        <v>0</v>
      </c>
      <c r="P844" s="81">
        <f>IF(Data!M844="CD",0,1)</f>
        <v>1</v>
      </c>
      <c r="Q844" s="81">
        <f>IF(Data!Q844&gt;Data!P844,DATEDIF(Data!P844,Data!Q844,"d"),0)</f>
        <v>0</v>
      </c>
      <c r="R844" s="81">
        <f>IF(Data!R844&gt;Data!Q844,DATEDIF(Data!Q844,Data!R844,"d"),0)</f>
        <v>0</v>
      </c>
    </row>
    <row r="845" spans="3:18" x14ac:dyDescent="0.2">
      <c r="C845" s="80">
        <f t="shared" ca="1" si="28"/>
        <v>45959</v>
      </c>
      <c r="D845" s="81">
        <f>IF(Data!I845&lt;&gt;"",DATEDIF(Data!I845,C845,"m"),0)</f>
        <v>0</v>
      </c>
      <c r="E845" s="82">
        <f t="shared" si="29"/>
        <v>0</v>
      </c>
      <c r="I845" s="81" t="str">
        <f>CONCATENATE(Data!M845,"-",Data!L845)</f>
        <v>-</v>
      </c>
      <c r="N845" s="81">
        <f>IF(Data!P845,DATEDIF(Data!O845,Data!P845,"d"),0)</f>
        <v>0</v>
      </c>
      <c r="O845" s="81">
        <f>IF(Data!M845="CD",1,0)</f>
        <v>0</v>
      </c>
      <c r="P845" s="81">
        <f>IF(Data!M845="CD",0,1)</f>
        <v>1</v>
      </c>
      <c r="Q845" s="81">
        <f>IF(Data!Q845&gt;Data!P845,DATEDIF(Data!P845,Data!Q845,"d"),0)</f>
        <v>0</v>
      </c>
      <c r="R845" s="81">
        <f>IF(Data!R845&gt;Data!Q845,DATEDIF(Data!Q845,Data!R845,"d"),0)</f>
        <v>0</v>
      </c>
    </row>
    <row r="846" spans="3:18" x14ac:dyDescent="0.2">
      <c r="C846" s="80">
        <f t="shared" ca="1" si="28"/>
        <v>45959</v>
      </c>
      <c r="D846" s="81">
        <f>IF(Data!I846&lt;&gt;"",DATEDIF(Data!I846,C846,"m"),0)</f>
        <v>0</v>
      </c>
      <c r="E846" s="82">
        <f t="shared" si="29"/>
        <v>0</v>
      </c>
      <c r="I846" s="81" t="str">
        <f>CONCATENATE(Data!M846,"-",Data!L846)</f>
        <v>-</v>
      </c>
      <c r="N846" s="81">
        <f>IF(Data!P846,DATEDIF(Data!O846,Data!P846,"d"),0)</f>
        <v>0</v>
      </c>
      <c r="O846" s="81">
        <f>IF(Data!M846="CD",1,0)</f>
        <v>0</v>
      </c>
      <c r="P846" s="81">
        <f>IF(Data!M846="CD",0,1)</f>
        <v>1</v>
      </c>
      <c r="Q846" s="81">
        <f>IF(Data!Q846&gt;Data!P846,DATEDIF(Data!P846,Data!Q846,"d"),0)</f>
        <v>0</v>
      </c>
      <c r="R846" s="81">
        <f>IF(Data!R846&gt;Data!Q846,DATEDIF(Data!Q846,Data!R846,"d"),0)</f>
        <v>0</v>
      </c>
    </row>
    <row r="847" spans="3:18" x14ac:dyDescent="0.2">
      <c r="C847" s="80">
        <f t="shared" ca="1" si="28"/>
        <v>45959</v>
      </c>
      <c r="D847" s="81">
        <f>IF(Data!I847&lt;&gt;"",DATEDIF(Data!I847,C847,"m"),0)</f>
        <v>0</v>
      </c>
      <c r="E847" s="82">
        <f t="shared" si="29"/>
        <v>0</v>
      </c>
      <c r="I847" s="81" t="str">
        <f>CONCATENATE(Data!M847,"-",Data!L847)</f>
        <v>-</v>
      </c>
      <c r="N847" s="81">
        <f>IF(Data!P847,DATEDIF(Data!O847,Data!P847,"d"),0)</f>
        <v>0</v>
      </c>
      <c r="O847" s="81">
        <f>IF(Data!M847="CD",1,0)</f>
        <v>0</v>
      </c>
      <c r="P847" s="81">
        <f>IF(Data!M847="CD",0,1)</f>
        <v>1</v>
      </c>
      <c r="Q847" s="81">
        <f>IF(Data!Q847&gt;Data!P847,DATEDIF(Data!P847,Data!Q847,"d"),0)</f>
        <v>0</v>
      </c>
      <c r="R847" s="81">
        <f>IF(Data!R847&gt;Data!Q847,DATEDIF(Data!Q847,Data!R847,"d"),0)</f>
        <v>0</v>
      </c>
    </row>
    <row r="848" spans="3:18" x14ac:dyDescent="0.2">
      <c r="C848" s="80">
        <f t="shared" ca="1" si="28"/>
        <v>45959</v>
      </c>
      <c r="D848" s="81">
        <f>IF(Data!I848&lt;&gt;"",DATEDIF(Data!I848,C848,"m"),0)</f>
        <v>0</v>
      </c>
      <c r="E848" s="82">
        <f t="shared" si="29"/>
        <v>0</v>
      </c>
      <c r="I848" s="81" t="str">
        <f>CONCATENATE(Data!M848,"-",Data!L848)</f>
        <v>-</v>
      </c>
      <c r="N848" s="81">
        <f>IF(Data!P848,DATEDIF(Data!O848,Data!P848,"d"),0)</f>
        <v>0</v>
      </c>
      <c r="O848" s="81">
        <f>IF(Data!M848="CD",1,0)</f>
        <v>0</v>
      </c>
      <c r="P848" s="81">
        <f>IF(Data!M848="CD",0,1)</f>
        <v>1</v>
      </c>
      <c r="Q848" s="81">
        <f>IF(Data!Q848&gt;Data!P848,DATEDIF(Data!P848,Data!Q848,"d"),0)</f>
        <v>0</v>
      </c>
      <c r="R848" s="81">
        <f>IF(Data!R848&gt;Data!Q848,DATEDIF(Data!Q848,Data!R848,"d"),0)</f>
        <v>0</v>
      </c>
    </row>
    <row r="849" spans="3:18" x14ac:dyDescent="0.2">
      <c r="C849" s="80">
        <f t="shared" ca="1" si="28"/>
        <v>45959</v>
      </c>
      <c r="D849" s="81">
        <f>IF(Data!I849&lt;&gt;"",DATEDIF(Data!I849,C849,"m"),0)</f>
        <v>0</v>
      </c>
      <c r="E849" s="82">
        <f t="shared" si="29"/>
        <v>0</v>
      </c>
      <c r="I849" s="81" t="str">
        <f>CONCATENATE(Data!M849,"-",Data!L849)</f>
        <v>-</v>
      </c>
      <c r="N849" s="81">
        <f>IF(Data!P849,DATEDIF(Data!O849,Data!P849,"d"),0)</f>
        <v>0</v>
      </c>
      <c r="O849" s="81">
        <f>IF(Data!M849="CD",1,0)</f>
        <v>0</v>
      </c>
      <c r="P849" s="81">
        <f>IF(Data!M849="CD",0,1)</f>
        <v>1</v>
      </c>
      <c r="Q849" s="81">
        <f>IF(Data!Q849&gt;Data!P849,DATEDIF(Data!P849,Data!Q849,"d"),0)</f>
        <v>0</v>
      </c>
      <c r="R849" s="81">
        <f>IF(Data!R849&gt;Data!Q849,DATEDIF(Data!Q849,Data!R849,"d"),0)</f>
        <v>0</v>
      </c>
    </row>
    <row r="850" spans="3:18" x14ac:dyDescent="0.2">
      <c r="C850" s="80">
        <f t="shared" ca="1" si="28"/>
        <v>45959</v>
      </c>
      <c r="D850" s="81">
        <f>IF(Data!I850&lt;&gt;"",DATEDIF(Data!I850,C850,"m"),0)</f>
        <v>0</v>
      </c>
      <c r="E850" s="82">
        <f t="shared" si="29"/>
        <v>0</v>
      </c>
      <c r="I850" s="81" t="str">
        <f>CONCATENATE(Data!M850,"-",Data!L850)</f>
        <v>-</v>
      </c>
      <c r="N850" s="81">
        <f>IF(Data!P850,DATEDIF(Data!O850,Data!P850,"d"),0)</f>
        <v>0</v>
      </c>
      <c r="O850" s="81">
        <f>IF(Data!M850="CD",1,0)</f>
        <v>0</v>
      </c>
      <c r="P850" s="81">
        <f>IF(Data!M850="CD",0,1)</f>
        <v>1</v>
      </c>
      <c r="Q850" s="81">
        <f>IF(Data!Q850&gt;Data!P850,DATEDIF(Data!P850,Data!Q850,"d"),0)</f>
        <v>0</v>
      </c>
      <c r="R850" s="81">
        <f>IF(Data!R850&gt;Data!Q850,DATEDIF(Data!Q850,Data!R850,"d"),0)</f>
        <v>0</v>
      </c>
    </row>
    <row r="851" spans="3:18" x14ac:dyDescent="0.2">
      <c r="C851" s="80">
        <f t="shared" ca="1" si="28"/>
        <v>45959</v>
      </c>
      <c r="D851" s="81">
        <f>IF(Data!I851&lt;&gt;"",DATEDIF(Data!I851,C851,"m"),0)</f>
        <v>0</v>
      </c>
      <c r="E851" s="82">
        <f t="shared" si="29"/>
        <v>0</v>
      </c>
      <c r="I851" s="81" t="str">
        <f>CONCATENATE(Data!M851,"-",Data!L851)</f>
        <v>-</v>
      </c>
      <c r="N851" s="81">
        <f>IF(Data!P851,DATEDIF(Data!O851,Data!P851,"d"),0)</f>
        <v>0</v>
      </c>
      <c r="O851" s="81">
        <f>IF(Data!M851="CD",1,0)</f>
        <v>0</v>
      </c>
      <c r="P851" s="81">
        <f>IF(Data!M851="CD",0,1)</f>
        <v>1</v>
      </c>
      <c r="Q851" s="81">
        <f>IF(Data!Q851&gt;Data!P851,DATEDIF(Data!P851,Data!Q851,"d"),0)</f>
        <v>0</v>
      </c>
      <c r="R851" s="81">
        <f>IF(Data!R851&gt;Data!Q851,DATEDIF(Data!Q851,Data!R851,"d"),0)</f>
        <v>0</v>
      </c>
    </row>
    <row r="852" spans="3:18" x14ac:dyDescent="0.2">
      <c r="C852" s="80">
        <f t="shared" ca="1" si="28"/>
        <v>45959</v>
      </c>
      <c r="D852" s="81">
        <f>IF(Data!I852&lt;&gt;"",DATEDIF(Data!I852,C852,"m"),0)</f>
        <v>0</v>
      </c>
      <c r="E852" s="82">
        <f t="shared" si="29"/>
        <v>0</v>
      </c>
      <c r="I852" s="81" t="str">
        <f>CONCATENATE(Data!M852,"-",Data!L852)</f>
        <v>-</v>
      </c>
      <c r="N852" s="81">
        <f>IF(Data!P852,DATEDIF(Data!O852,Data!P852,"d"),0)</f>
        <v>0</v>
      </c>
      <c r="O852" s="81">
        <f>IF(Data!M852="CD",1,0)</f>
        <v>0</v>
      </c>
      <c r="P852" s="81">
        <f>IF(Data!M852="CD",0,1)</f>
        <v>1</v>
      </c>
      <c r="Q852" s="81">
        <f>IF(Data!Q852&gt;Data!P852,DATEDIF(Data!P852,Data!Q852,"d"),0)</f>
        <v>0</v>
      </c>
      <c r="R852" s="81">
        <f>IF(Data!R852&gt;Data!Q852,DATEDIF(Data!Q852,Data!R852,"d"),0)</f>
        <v>0</v>
      </c>
    </row>
    <row r="853" spans="3:18" x14ac:dyDescent="0.2">
      <c r="C853" s="80">
        <f t="shared" ca="1" si="28"/>
        <v>45959</v>
      </c>
      <c r="D853" s="81">
        <f>IF(Data!I853&lt;&gt;"",DATEDIF(Data!I853,C853,"m"),0)</f>
        <v>0</v>
      </c>
      <c r="E853" s="82">
        <f t="shared" si="29"/>
        <v>0</v>
      </c>
      <c r="I853" s="81" t="str">
        <f>CONCATENATE(Data!M853,"-",Data!L853)</f>
        <v>-</v>
      </c>
      <c r="N853" s="81">
        <f>IF(Data!P853,DATEDIF(Data!O853,Data!P853,"d"),0)</f>
        <v>0</v>
      </c>
      <c r="O853" s="81">
        <f>IF(Data!M853="CD",1,0)</f>
        <v>0</v>
      </c>
      <c r="P853" s="81">
        <f>IF(Data!M853="CD",0,1)</f>
        <v>1</v>
      </c>
      <c r="Q853" s="81">
        <f>IF(Data!Q853&gt;Data!P853,DATEDIF(Data!P853,Data!Q853,"d"),0)</f>
        <v>0</v>
      </c>
      <c r="R853" s="81">
        <f>IF(Data!R853&gt;Data!Q853,DATEDIF(Data!Q853,Data!R853,"d"),0)</f>
        <v>0</v>
      </c>
    </row>
    <row r="854" spans="3:18" x14ac:dyDescent="0.2">
      <c r="C854" s="80">
        <f t="shared" ca="1" si="28"/>
        <v>45959</v>
      </c>
      <c r="D854" s="81">
        <f>IF(Data!I854&lt;&gt;"",DATEDIF(Data!I854,C854,"m"),0)</f>
        <v>0</v>
      </c>
      <c r="E854" s="82">
        <f t="shared" si="29"/>
        <v>0</v>
      </c>
      <c r="I854" s="81" t="str">
        <f>CONCATENATE(Data!M854,"-",Data!L854)</f>
        <v>-</v>
      </c>
      <c r="N854" s="81">
        <f>IF(Data!P854,DATEDIF(Data!O854,Data!P854,"d"),0)</f>
        <v>0</v>
      </c>
      <c r="O854" s="81">
        <f>IF(Data!M854="CD",1,0)</f>
        <v>0</v>
      </c>
      <c r="P854" s="81">
        <f>IF(Data!M854="CD",0,1)</f>
        <v>1</v>
      </c>
      <c r="Q854" s="81">
        <f>IF(Data!Q854&gt;Data!P854,DATEDIF(Data!P854,Data!Q854,"d"),0)</f>
        <v>0</v>
      </c>
      <c r="R854" s="81">
        <f>IF(Data!R854&gt;Data!Q854,DATEDIF(Data!Q854,Data!R854,"d"),0)</f>
        <v>0</v>
      </c>
    </row>
    <row r="855" spans="3:18" x14ac:dyDescent="0.2">
      <c r="C855" s="80">
        <f t="shared" ca="1" si="28"/>
        <v>45959</v>
      </c>
      <c r="D855" s="81">
        <f>IF(Data!I855&lt;&gt;"",DATEDIF(Data!I855,C855,"m"),0)</f>
        <v>0</v>
      </c>
      <c r="E855" s="82">
        <f t="shared" si="29"/>
        <v>0</v>
      </c>
      <c r="I855" s="81" t="str">
        <f>CONCATENATE(Data!M855,"-",Data!L855)</f>
        <v>-</v>
      </c>
      <c r="N855" s="81">
        <f>IF(Data!P855,DATEDIF(Data!O855,Data!P855,"d"),0)</f>
        <v>0</v>
      </c>
      <c r="O855" s="81">
        <f>IF(Data!M855="CD",1,0)</f>
        <v>0</v>
      </c>
      <c r="P855" s="81">
        <f>IF(Data!M855="CD",0,1)</f>
        <v>1</v>
      </c>
      <c r="Q855" s="81">
        <f>IF(Data!Q855&gt;Data!P855,DATEDIF(Data!P855,Data!Q855,"d"),0)</f>
        <v>0</v>
      </c>
      <c r="R855" s="81">
        <f>IF(Data!R855&gt;Data!Q855,DATEDIF(Data!Q855,Data!R855,"d"),0)</f>
        <v>0</v>
      </c>
    </row>
    <row r="856" spans="3:18" x14ac:dyDescent="0.2">
      <c r="C856" s="80">
        <f t="shared" ca="1" si="28"/>
        <v>45959</v>
      </c>
      <c r="D856" s="81">
        <f>IF(Data!I856&lt;&gt;"",DATEDIF(Data!I856,C856,"m"),0)</f>
        <v>0</v>
      </c>
      <c r="E856" s="82">
        <f t="shared" si="29"/>
        <v>0</v>
      </c>
      <c r="I856" s="81" t="str">
        <f>CONCATENATE(Data!M856,"-",Data!L856)</f>
        <v>-</v>
      </c>
      <c r="N856" s="81">
        <f>IF(Data!P856,DATEDIF(Data!O856,Data!P856,"d"),0)</f>
        <v>0</v>
      </c>
      <c r="O856" s="81">
        <f>IF(Data!M856="CD",1,0)</f>
        <v>0</v>
      </c>
      <c r="P856" s="81">
        <f>IF(Data!M856="CD",0,1)</f>
        <v>1</v>
      </c>
      <c r="Q856" s="81">
        <f>IF(Data!Q856&gt;Data!P856,DATEDIF(Data!P856,Data!Q856,"d"),0)</f>
        <v>0</v>
      </c>
      <c r="R856" s="81">
        <f>IF(Data!R856&gt;Data!Q856,DATEDIF(Data!Q856,Data!R856,"d"),0)</f>
        <v>0</v>
      </c>
    </row>
    <row r="857" spans="3:18" x14ac:dyDescent="0.2">
      <c r="C857" s="80">
        <f t="shared" ca="1" si="28"/>
        <v>45959</v>
      </c>
      <c r="D857" s="81">
        <f>IF(Data!I857&lt;&gt;"",DATEDIF(Data!I857,C857,"m"),0)</f>
        <v>0</v>
      </c>
      <c r="E857" s="82">
        <f t="shared" si="29"/>
        <v>0</v>
      </c>
      <c r="I857" s="81" t="str">
        <f>CONCATENATE(Data!M857,"-",Data!L857)</f>
        <v>-</v>
      </c>
      <c r="N857" s="81">
        <f>IF(Data!P857,DATEDIF(Data!O857,Data!P857,"d"),0)</f>
        <v>0</v>
      </c>
      <c r="O857" s="81">
        <f>IF(Data!M857="CD",1,0)</f>
        <v>0</v>
      </c>
      <c r="P857" s="81">
        <f>IF(Data!M857="CD",0,1)</f>
        <v>1</v>
      </c>
      <c r="Q857" s="81">
        <f>IF(Data!Q857&gt;Data!P857,DATEDIF(Data!P857,Data!Q857,"d"),0)</f>
        <v>0</v>
      </c>
      <c r="R857" s="81">
        <f>IF(Data!R857&gt;Data!Q857,DATEDIF(Data!Q857,Data!R857,"d"),0)</f>
        <v>0</v>
      </c>
    </row>
    <row r="858" spans="3:18" x14ac:dyDescent="0.2">
      <c r="C858" s="80">
        <f t="shared" ca="1" si="28"/>
        <v>45959</v>
      </c>
      <c r="D858" s="81">
        <f>IF(Data!I858&lt;&gt;"",DATEDIF(Data!I858,C858,"m"),0)</f>
        <v>0</v>
      </c>
      <c r="E858" s="82">
        <f t="shared" si="29"/>
        <v>0</v>
      </c>
      <c r="I858" s="81" t="str">
        <f>CONCATENATE(Data!M858,"-",Data!L858)</f>
        <v>-</v>
      </c>
      <c r="N858" s="81">
        <f>IF(Data!P858,DATEDIF(Data!O858,Data!P858,"d"),0)</f>
        <v>0</v>
      </c>
      <c r="O858" s="81">
        <f>IF(Data!M858="CD",1,0)</f>
        <v>0</v>
      </c>
      <c r="P858" s="81">
        <f>IF(Data!M858="CD",0,1)</f>
        <v>1</v>
      </c>
      <c r="Q858" s="81">
        <f>IF(Data!Q858&gt;Data!P858,DATEDIF(Data!P858,Data!Q858,"d"),0)</f>
        <v>0</v>
      </c>
      <c r="R858" s="81">
        <f>IF(Data!R858&gt;Data!Q858,DATEDIF(Data!Q858,Data!R858,"d"),0)</f>
        <v>0</v>
      </c>
    </row>
    <row r="859" spans="3:18" x14ac:dyDescent="0.2">
      <c r="C859" s="80">
        <f t="shared" ca="1" si="28"/>
        <v>45959</v>
      </c>
      <c r="D859" s="81">
        <f>IF(Data!I859&lt;&gt;"",DATEDIF(Data!I859,C859,"m"),0)</f>
        <v>0</v>
      </c>
      <c r="E859" s="82">
        <f t="shared" si="29"/>
        <v>0</v>
      </c>
      <c r="I859" s="81" t="str">
        <f>CONCATENATE(Data!M859,"-",Data!L859)</f>
        <v>-</v>
      </c>
      <c r="N859" s="81">
        <f>IF(Data!P859,DATEDIF(Data!O859,Data!P859,"d"),0)</f>
        <v>0</v>
      </c>
      <c r="O859" s="81">
        <f>IF(Data!M859="CD",1,0)</f>
        <v>0</v>
      </c>
      <c r="P859" s="81">
        <f>IF(Data!M859="CD",0,1)</f>
        <v>1</v>
      </c>
      <c r="Q859" s="81">
        <f>IF(Data!Q859&gt;Data!P859,DATEDIF(Data!P859,Data!Q859,"d"),0)</f>
        <v>0</v>
      </c>
      <c r="R859" s="81">
        <f>IF(Data!R859&gt;Data!Q859,DATEDIF(Data!Q859,Data!R859,"d"),0)</f>
        <v>0</v>
      </c>
    </row>
    <row r="860" spans="3:18" x14ac:dyDescent="0.2">
      <c r="C860" s="80">
        <f t="shared" ca="1" si="28"/>
        <v>45959</v>
      </c>
      <c r="D860" s="81">
        <f>IF(Data!I860&lt;&gt;"",DATEDIF(Data!I860,C860,"m"),0)</f>
        <v>0</v>
      </c>
      <c r="E860" s="82">
        <f t="shared" si="29"/>
        <v>0</v>
      </c>
      <c r="I860" s="81" t="str">
        <f>CONCATENATE(Data!M860,"-",Data!L860)</f>
        <v>-</v>
      </c>
      <c r="N860" s="81">
        <f>IF(Data!P860,DATEDIF(Data!O860,Data!P860,"d"),0)</f>
        <v>0</v>
      </c>
      <c r="O860" s="81">
        <f>IF(Data!M860="CD",1,0)</f>
        <v>0</v>
      </c>
      <c r="P860" s="81">
        <f>IF(Data!M860="CD",0,1)</f>
        <v>1</v>
      </c>
      <c r="Q860" s="81">
        <f>IF(Data!Q860&gt;Data!P860,DATEDIF(Data!P860,Data!Q860,"d"),0)</f>
        <v>0</v>
      </c>
      <c r="R860" s="81">
        <f>IF(Data!R860&gt;Data!Q860,DATEDIF(Data!Q860,Data!R860,"d"),0)</f>
        <v>0</v>
      </c>
    </row>
    <row r="861" spans="3:18" x14ac:dyDescent="0.2">
      <c r="C861" s="80">
        <f t="shared" ca="1" si="28"/>
        <v>45959</v>
      </c>
      <c r="D861" s="81">
        <f>IF(Data!I861&lt;&gt;"",DATEDIF(Data!I861,C861,"m"),0)</f>
        <v>0</v>
      </c>
      <c r="E861" s="82">
        <f t="shared" si="29"/>
        <v>0</v>
      </c>
      <c r="I861" s="81" t="str">
        <f>CONCATENATE(Data!M861,"-",Data!L861)</f>
        <v>-</v>
      </c>
      <c r="N861" s="81">
        <f>IF(Data!P861,DATEDIF(Data!O861,Data!P861,"d"),0)</f>
        <v>0</v>
      </c>
      <c r="O861" s="81">
        <f>IF(Data!M861="CD",1,0)</f>
        <v>0</v>
      </c>
      <c r="P861" s="81">
        <f>IF(Data!M861="CD",0,1)</f>
        <v>1</v>
      </c>
      <c r="Q861" s="81">
        <f>IF(Data!Q861&gt;Data!P861,DATEDIF(Data!P861,Data!Q861,"d"),0)</f>
        <v>0</v>
      </c>
      <c r="R861" s="81">
        <f>IF(Data!R861&gt;Data!Q861,DATEDIF(Data!Q861,Data!R861,"d"),0)</f>
        <v>0</v>
      </c>
    </row>
    <row r="862" spans="3:18" x14ac:dyDescent="0.2">
      <c r="C862" s="80">
        <f t="shared" ca="1" si="28"/>
        <v>45959</v>
      </c>
      <c r="D862" s="81">
        <f>IF(Data!I862&lt;&gt;"",DATEDIF(Data!I862,C862,"m"),0)</f>
        <v>0</v>
      </c>
      <c r="E862" s="82">
        <f t="shared" si="29"/>
        <v>0</v>
      </c>
      <c r="I862" s="81" t="str">
        <f>CONCATENATE(Data!M862,"-",Data!L862)</f>
        <v>-</v>
      </c>
      <c r="N862" s="81">
        <f>IF(Data!P862,DATEDIF(Data!O862,Data!P862,"d"),0)</f>
        <v>0</v>
      </c>
      <c r="O862" s="81">
        <f>IF(Data!M862="CD",1,0)</f>
        <v>0</v>
      </c>
      <c r="P862" s="81">
        <f>IF(Data!M862="CD",0,1)</f>
        <v>1</v>
      </c>
      <c r="Q862" s="81">
        <f>IF(Data!Q862&gt;Data!P862,DATEDIF(Data!P862,Data!Q862,"d"),0)</f>
        <v>0</v>
      </c>
      <c r="R862" s="81">
        <f>IF(Data!R862&gt;Data!Q862,DATEDIF(Data!Q862,Data!R862,"d"),0)</f>
        <v>0</v>
      </c>
    </row>
    <row r="863" spans="3:18" x14ac:dyDescent="0.2">
      <c r="C863" s="80">
        <f t="shared" ca="1" si="28"/>
        <v>45959</v>
      </c>
      <c r="D863" s="81">
        <f>IF(Data!I863&lt;&gt;"",DATEDIF(Data!I863,C863,"m"),0)</f>
        <v>0</v>
      </c>
      <c r="E863" s="82">
        <f t="shared" si="29"/>
        <v>0</v>
      </c>
      <c r="I863" s="81" t="str">
        <f>CONCATENATE(Data!M863,"-",Data!L863)</f>
        <v>-</v>
      </c>
      <c r="N863" s="81">
        <f>IF(Data!P863,DATEDIF(Data!O863,Data!P863,"d"),0)</f>
        <v>0</v>
      </c>
      <c r="O863" s="81">
        <f>IF(Data!M863="CD",1,0)</f>
        <v>0</v>
      </c>
      <c r="P863" s="81">
        <f>IF(Data!M863="CD",0,1)</f>
        <v>1</v>
      </c>
      <c r="Q863" s="81">
        <f>IF(Data!Q863&gt;Data!P863,DATEDIF(Data!P863,Data!Q863,"d"),0)</f>
        <v>0</v>
      </c>
      <c r="R863" s="81">
        <f>IF(Data!R863&gt;Data!Q863,DATEDIF(Data!Q863,Data!R863,"d"),0)</f>
        <v>0</v>
      </c>
    </row>
    <row r="864" spans="3:18" x14ac:dyDescent="0.2">
      <c r="C864" s="80">
        <f t="shared" ca="1" si="28"/>
        <v>45959</v>
      </c>
      <c r="D864" s="81">
        <f>IF(Data!I864&lt;&gt;"",DATEDIF(Data!I864,C864,"m"),0)</f>
        <v>0</v>
      </c>
      <c r="E864" s="82">
        <f t="shared" si="29"/>
        <v>0</v>
      </c>
      <c r="I864" s="81" t="str">
        <f>CONCATENATE(Data!M864,"-",Data!L864)</f>
        <v>-</v>
      </c>
      <c r="N864" s="81">
        <f>IF(Data!P864,DATEDIF(Data!O864,Data!P864,"d"),0)</f>
        <v>0</v>
      </c>
      <c r="O864" s="81">
        <f>IF(Data!M864="CD",1,0)</f>
        <v>0</v>
      </c>
      <c r="P864" s="81">
        <f>IF(Data!M864="CD",0,1)</f>
        <v>1</v>
      </c>
      <c r="Q864" s="81">
        <f>IF(Data!Q864&gt;Data!P864,DATEDIF(Data!P864,Data!Q864,"d"),0)</f>
        <v>0</v>
      </c>
      <c r="R864" s="81">
        <f>IF(Data!R864&gt;Data!Q864,DATEDIF(Data!Q864,Data!R864,"d"),0)</f>
        <v>0</v>
      </c>
    </row>
    <row r="865" spans="3:18" x14ac:dyDescent="0.2">
      <c r="C865" s="80">
        <f t="shared" ca="1" si="28"/>
        <v>45959</v>
      </c>
      <c r="D865" s="81">
        <f>IF(Data!I865&lt;&gt;"",DATEDIF(Data!I865,C865,"m"),0)</f>
        <v>0</v>
      </c>
      <c r="E865" s="82">
        <f t="shared" si="29"/>
        <v>0</v>
      </c>
      <c r="I865" s="81" t="str">
        <f>CONCATENATE(Data!M865,"-",Data!L865)</f>
        <v>-</v>
      </c>
      <c r="N865" s="81">
        <f>IF(Data!P865,DATEDIF(Data!O865,Data!P865,"d"),0)</f>
        <v>0</v>
      </c>
      <c r="O865" s="81">
        <f>IF(Data!M865="CD",1,0)</f>
        <v>0</v>
      </c>
      <c r="P865" s="81">
        <f>IF(Data!M865="CD",0,1)</f>
        <v>1</v>
      </c>
      <c r="Q865" s="81">
        <f>IF(Data!Q865&gt;Data!P865,DATEDIF(Data!P865,Data!Q865,"d"),0)</f>
        <v>0</v>
      </c>
      <c r="R865" s="81">
        <f>IF(Data!R865&gt;Data!Q865,DATEDIF(Data!Q865,Data!R865,"d"),0)</f>
        <v>0</v>
      </c>
    </row>
    <row r="866" spans="3:18" x14ac:dyDescent="0.2">
      <c r="C866" s="80">
        <f t="shared" ca="1" si="28"/>
        <v>45959</v>
      </c>
      <c r="D866" s="81">
        <f>IF(Data!I866&lt;&gt;"",DATEDIF(Data!I866,C866,"m"),0)</f>
        <v>0</v>
      </c>
      <c r="E866" s="82">
        <f t="shared" si="29"/>
        <v>0</v>
      </c>
      <c r="I866" s="81" t="str">
        <f>CONCATENATE(Data!M866,"-",Data!L866)</f>
        <v>-</v>
      </c>
      <c r="N866" s="81">
        <f>IF(Data!P866,DATEDIF(Data!O866,Data!P866,"d"),0)</f>
        <v>0</v>
      </c>
      <c r="O866" s="81">
        <f>IF(Data!M866="CD",1,0)</f>
        <v>0</v>
      </c>
      <c r="P866" s="81">
        <f>IF(Data!M866="CD",0,1)</f>
        <v>1</v>
      </c>
      <c r="Q866" s="81">
        <f>IF(Data!Q866&gt;Data!P866,DATEDIF(Data!P866,Data!Q866,"d"),0)</f>
        <v>0</v>
      </c>
      <c r="R866" s="81">
        <f>IF(Data!R866&gt;Data!Q866,DATEDIF(Data!Q866,Data!R866,"d"),0)</f>
        <v>0</v>
      </c>
    </row>
    <row r="867" spans="3:18" x14ac:dyDescent="0.2">
      <c r="C867" s="80">
        <f t="shared" ca="1" si="28"/>
        <v>45959</v>
      </c>
      <c r="D867" s="81">
        <f>IF(Data!I867&lt;&gt;"",DATEDIF(Data!I867,C867,"m"),0)</f>
        <v>0</v>
      </c>
      <c r="E867" s="82">
        <f t="shared" si="29"/>
        <v>0</v>
      </c>
      <c r="I867" s="81" t="str">
        <f>CONCATENATE(Data!M867,"-",Data!L867)</f>
        <v>-</v>
      </c>
      <c r="N867" s="81">
        <f>IF(Data!P867,DATEDIF(Data!O867,Data!P867,"d"),0)</f>
        <v>0</v>
      </c>
      <c r="O867" s="81">
        <f>IF(Data!M867="CD",1,0)</f>
        <v>0</v>
      </c>
      <c r="P867" s="81">
        <f>IF(Data!M867="CD",0,1)</f>
        <v>1</v>
      </c>
      <c r="Q867" s="81">
        <f>IF(Data!Q867&gt;Data!P867,DATEDIF(Data!P867,Data!Q867,"d"),0)</f>
        <v>0</v>
      </c>
      <c r="R867" s="81">
        <f>IF(Data!R867&gt;Data!Q867,DATEDIF(Data!Q867,Data!R867,"d"),0)</f>
        <v>0</v>
      </c>
    </row>
    <row r="868" spans="3:18" x14ac:dyDescent="0.2">
      <c r="C868" s="80">
        <f t="shared" ca="1" si="28"/>
        <v>45959</v>
      </c>
      <c r="D868" s="81">
        <f>IF(Data!I868&lt;&gt;"",DATEDIF(Data!I868,C868,"m"),0)</f>
        <v>0</v>
      </c>
      <c r="E868" s="82">
        <f t="shared" si="29"/>
        <v>0</v>
      </c>
      <c r="I868" s="81" t="str">
        <f>CONCATENATE(Data!M868,"-",Data!L868)</f>
        <v>-</v>
      </c>
      <c r="N868" s="81">
        <f>IF(Data!P868,DATEDIF(Data!O868,Data!P868,"d"),0)</f>
        <v>0</v>
      </c>
      <c r="O868" s="81">
        <f>IF(Data!M868="CD",1,0)</f>
        <v>0</v>
      </c>
      <c r="P868" s="81">
        <f>IF(Data!M868="CD",0,1)</f>
        <v>1</v>
      </c>
      <c r="Q868" s="81">
        <f>IF(Data!Q868&gt;Data!P868,DATEDIF(Data!P868,Data!Q868,"d"),0)</f>
        <v>0</v>
      </c>
      <c r="R868" s="81">
        <f>IF(Data!R868&gt;Data!Q868,DATEDIF(Data!Q868,Data!R868,"d"),0)</f>
        <v>0</v>
      </c>
    </row>
    <row r="869" spans="3:18" x14ac:dyDescent="0.2">
      <c r="C869" s="80">
        <f t="shared" ca="1" si="28"/>
        <v>45959</v>
      </c>
      <c r="D869" s="81">
        <f>IF(Data!I869&lt;&gt;"",DATEDIF(Data!I869,C869,"m"),0)</f>
        <v>0</v>
      </c>
      <c r="E869" s="82">
        <f t="shared" si="29"/>
        <v>0</v>
      </c>
      <c r="I869" s="81" t="str">
        <f>CONCATENATE(Data!M869,"-",Data!L869)</f>
        <v>-</v>
      </c>
      <c r="N869" s="81">
        <f>IF(Data!P869,DATEDIF(Data!O869,Data!P869,"d"),0)</f>
        <v>0</v>
      </c>
      <c r="O869" s="81">
        <f>IF(Data!M869="CD",1,0)</f>
        <v>0</v>
      </c>
      <c r="P869" s="81">
        <f>IF(Data!M869="CD",0,1)</f>
        <v>1</v>
      </c>
      <c r="Q869" s="81">
        <f>IF(Data!Q869&gt;Data!P869,DATEDIF(Data!P869,Data!Q869,"d"),0)</f>
        <v>0</v>
      </c>
      <c r="R869" s="81">
        <f>IF(Data!R869&gt;Data!Q869,DATEDIF(Data!Q869,Data!R869,"d"),0)</f>
        <v>0</v>
      </c>
    </row>
    <row r="870" spans="3:18" x14ac:dyDescent="0.2">
      <c r="C870" s="80">
        <f t="shared" ca="1" si="28"/>
        <v>45959</v>
      </c>
      <c r="D870" s="81">
        <f>IF(Data!I870&lt;&gt;"",DATEDIF(Data!I870,C870,"m"),0)</f>
        <v>0</v>
      </c>
      <c r="E870" s="82">
        <f t="shared" si="29"/>
        <v>0</v>
      </c>
      <c r="I870" s="81" t="str">
        <f>CONCATENATE(Data!M870,"-",Data!L870)</f>
        <v>-</v>
      </c>
      <c r="N870" s="81">
        <f>IF(Data!P870,DATEDIF(Data!O870,Data!P870,"d"),0)</f>
        <v>0</v>
      </c>
      <c r="O870" s="81">
        <f>IF(Data!M870="CD",1,0)</f>
        <v>0</v>
      </c>
      <c r="P870" s="81">
        <f>IF(Data!M870="CD",0,1)</f>
        <v>1</v>
      </c>
      <c r="Q870" s="81">
        <f>IF(Data!Q870&gt;Data!P870,DATEDIF(Data!P870,Data!Q870,"d"),0)</f>
        <v>0</v>
      </c>
      <c r="R870" s="81">
        <f>IF(Data!R870&gt;Data!Q870,DATEDIF(Data!Q870,Data!R870,"d"),0)</f>
        <v>0</v>
      </c>
    </row>
    <row r="871" spans="3:18" x14ac:dyDescent="0.2">
      <c r="C871" s="80">
        <f t="shared" ca="1" si="28"/>
        <v>45959</v>
      </c>
      <c r="D871" s="81">
        <f>IF(Data!I871&lt;&gt;"",DATEDIF(Data!I871,C871,"m"),0)</f>
        <v>0</v>
      </c>
      <c r="E871" s="82">
        <f t="shared" si="29"/>
        <v>0</v>
      </c>
      <c r="I871" s="81" t="str">
        <f>CONCATENATE(Data!M871,"-",Data!L871)</f>
        <v>-</v>
      </c>
      <c r="N871" s="81">
        <f>IF(Data!P871,DATEDIF(Data!O871,Data!P871,"d"),0)</f>
        <v>0</v>
      </c>
      <c r="O871" s="81">
        <f>IF(Data!M871="CD",1,0)</f>
        <v>0</v>
      </c>
      <c r="P871" s="81">
        <f>IF(Data!M871="CD",0,1)</f>
        <v>1</v>
      </c>
      <c r="Q871" s="81">
        <f>IF(Data!Q871&gt;Data!P871,DATEDIF(Data!P871,Data!Q871,"d"),0)</f>
        <v>0</v>
      </c>
      <c r="R871" s="81">
        <f>IF(Data!R871&gt;Data!Q871,DATEDIF(Data!Q871,Data!R871,"d"),0)</f>
        <v>0</v>
      </c>
    </row>
    <row r="872" spans="3:18" x14ac:dyDescent="0.2">
      <c r="C872" s="80">
        <f t="shared" ca="1" si="28"/>
        <v>45959</v>
      </c>
      <c r="D872" s="81">
        <f>IF(Data!I872&lt;&gt;"",DATEDIF(Data!I872,C872,"m"),0)</f>
        <v>0</v>
      </c>
      <c r="E872" s="82">
        <f t="shared" si="29"/>
        <v>0</v>
      </c>
      <c r="I872" s="81" t="str">
        <f>CONCATENATE(Data!M872,"-",Data!L872)</f>
        <v>-</v>
      </c>
      <c r="N872" s="81">
        <f>IF(Data!P872,DATEDIF(Data!O872,Data!P872,"d"),0)</f>
        <v>0</v>
      </c>
      <c r="O872" s="81">
        <f>IF(Data!M872="CD",1,0)</f>
        <v>0</v>
      </c>
      <c r="P872" s="81">
        <f>IF(Data!M872="CD",0,1)</f>
        <v>1</v>
      </c>
      <c r="Q872" s="81">
        <f>IF(Data!Q872&gt;Data!P872,DATEDIF(Data!P872,Data!Q872,"d"),0)</f>
        <v>0</v>
      </c>
      <c r="R872" s="81">
        <f>IF(Data!R872&gt;Data!Q872,DATEDIF(Data!Q872,Data!R872,"d"),0)</f>
        <v>0</v>
      </c>
    </row>
    <row r="873" spans="3:18" x14ac:dyDescent="0.2">
      <c r="C873" s="80">
        <f t="shared" ca="1" si="28"/>
        <v>45959</v>
      </c>
      <c r="D873" s="81">
        <f>IF(Data!I873&lt;&gt;"",DATEDIF(Data!I873,C873,"m"),0)</f>
        <v>0</v>
      </c>
      <c r="E873" s="82">
        <f t="shared" si="29"/>
        <v>0</v>
      </c>
      <c r="I873" s="81" t="str">
        <f>CONCATENATE(Data!M873,"-",Data!L873)</f>
        <v>-</v>
      </c>
      <c r="N873" s="81">
        <f>IF(Data!P873,DATEDIF(Data!O873,Data!P873,"d"),0)</f>
        <v>0</v>
      </c>
      <c r="O873" s="81">
        <f>IF(Data!M873="CD",1,0)</f>
        <v>0</v>
      </c>
      <c r="P873" s="81">
        <f>IF(Data!M873="CD",0,1)</f>
        <v>1</v>
      </c>
      <c r="Q873" s="81">
        <f>IF(Data!Q873&gt;Data!P873,DATEDIF(Data!P873,Data!Q873,"d"),0)</f>
        <v>0</v>
      </c>
      <c r="R873" s="81">
        <f>IF(Data!R873&gt;Data!Q873,DATEDIF(Data!Q873,Data!R873,"d"),0)</f>
        <v>0</v>
      </c>
    </row>
    <row r="874" spans="3:18" x14ac:dyDescent="0.2">
      <c r="C874" s="80">
        <f t="shared" ca="1" si="28"/>
        <v>45959</v>
      </c>
      <c r="D874" s="81">
        <f>IF(Data!I874&lt;&gt;"",DATEDIF(Data!I874,C874,"m"),0)</f>
        <v>0</v>
      </c>
      <c r="E874" s="82">
        <f t="shared" si="29"/>
        <v>0</v>
      </c>
      <c r="I874" s="81" t="str">
        <f>CONCATENATE(Data!M874,"-",Data!L874)</f>
        <v>-</v>
      </c>
      <c r="N874" s="81">
        <f>IF(Data!P874,DATEDIF(Data!O874,Data!P874,"d"),0)</f>
        <v>0</v>
      </c>
      <c r="O874" s="81">
        <f>IF(Data!M874="CD",1,0)</f>
        <v>0</v>
      </c>
      <c r="P874" s="81">
        <f>IF(Data!M874="CD",0,1)</f>
        <v>1</v>
      </c>
      <c r="Q874" s="81">
        <f>IF(Data!Q874&gt;Data!P874,DATEDIF(Data!P874,Data!Q874,"d"),0)</f>
        <v>0</v>
      </c>
      <c r="R874" s="81">
        <f>IF(Data!R874&gt;Data!Q874,DATEDIF(Data!Q874,Data!R874,"d"),0)</f>
        <v>0</v>
      </c>
    </row>
    <row r="875" spans="3:18" x14ac:dyDescent="0.2">
      <c r="C875" s="80">
        <f t="shared" ca="1" si="28"/>
        <v>45959</v>
      </c>
      <c r="D875" s="81">
        <f>IF(Data!I875&lt;&gt;"",DATEDIF(Data!I875,C875,"m"),0)</f>
        <v>0</v>
      </c>
      <c r="E875" s="82">
        <f t="shared" si="29"/>
        <v>0</v>
      </c>
      <c r="I875" s="81" t="str">
        <f>CONCATENATE(Data!M875,"-",Data!L875)</f>
        <v>-</v>
      </c>
      <c r="N875" s="81">
        <f>IF(Data!P875,DATEDIF(Data!O875,Data!P875,"d"),0)</f>
        <v>0</v>
      </c>
      <c r="O875" s="81">
        <f>IF(Data!M875="CD",1,0)</f>
        <v>0</v>
      </c>
      <c r="P875" s="81">
        <f>IF(Data!M875="CD",0,1)</f>
        <v>1</v>
      </c>
      <c r="Q875" s="81">
        <f>IF(Data!Q875&gt;Data!P875,DATEDIF(Data!P875,Data!Q875,"d"),0)</f>
        <v>0</v>
      </c>
      <c r="R875" s="81">
        <f>IF(Data!R875&gt;Data!Q875,DATEDIF(Data!Q875,Data!R875,"d"),0)</f>
        <v>0</v>
      </c>
    </row>
    <row r="876" spans="3:18" x14ac:dyDescent="0.2">
      <c r="C876" s="80">
        <f t="shared" ca="1" si="28"/>
        <v>45959</v>
      </c>
      <c r="D876" s="81">
        <f>IF(Data!I876&lt;&gt;"",DATEDIF(Data!I876,C876,"m"),0)</f>
        <v>0</v>
      </c>
      <c r="E876" s="82">
        <f t="shared" si="29"/>
        <v>0</v>
      </c>
      <c r="I876" s="81" t="str">
        <f>CONCATENATE(Data!M876,"-",Data!L876)</f>
        <v>-</v>
      </c>
      <c r="N876" s="81">
        <f>IF(Data!P876,DATEDIF(Data!O876,Data!P876,"d"),0)</f>
        <v>0</v>
      </c>
      <c r="O876" s="81">
        <f>IF(Data!M876="CD",1,0)</f>
        <v>0</v>
      </c>
      <c r="P876" s="81">
        <f>IF(Data!M876="CD",0,1)</f>
        <v>1</v>
      </c>
      <c r="Q876" s="81">
        <f>IF(Data!Q876&gt;Data!P876,DATEDIF(Data!P876,Data!Q876,"d"),0)</f>
        <v>0</v>
      </c>
      <c r="R876" s="81">
        <f>IF(Data!R876&gt;Data!Q876,DATEDIF(Data!Q876,Data!R876,"d"),0)</f>
        <v>0</v>
      </c>
    </row>
    <row r="877" spans="3:18" x14ac:dyDescent="0.2">
      <c r="C877" s="80">
        <f t="shared" ca="1" si="28"/>
        <v>45959</v>
      </c>
      <c r="D877" s="81">
        <f>IF(Data!I877&lt;&gt;"",DATEDIF(Data!I877,C877,"m"),0)</f>
        <v>0</v>
      </c>
      <c r="E877" s="82">
        <f t="shared" si="29"/>
        <v>0</v>
      </c>
      <c r="I877" s="81" t="str">
        <f>CONCATENATE(Data!M877,"-",Data!L877)</f>
        <v>-</v>
      </c>
      <c r="N877" s="81">
        <f>IF(Data!P877,DATEDIF(Data!O877,Data!P877,"d"),0)</f>
        <v>0</v>
      </c>
      <c r="O877" s="81">
        <f>IF(Data!M877="CD",1,0)</f>
        <v>0</v>
      </c>
      <c r="P877" s="81">
        <f>IF(Data!M877="CD",0,1)</f>
        <v>1</v>
      </c>
      <c r="Q877" s="81">
        <f>IF(Data!Q877&gt;Data!P877,DATEDIF(Data!P877,Data!Q877,"d"),0)</f>
        <v>0</v>
      </c>
      <c r="R877" s="81">
        <f>IF(Data!R877&gt;Data!Q877,DATEDIF(Data!Q877,Data!R877,"d"),0)</f>
        <v>0</v>
      </c>
    </row>
    <row r="878" spans="3:18" x14ac:dyDescent="0.2">
      <c r="C878" s="80">
        <f t="shared" ca="1" si="28"/>
        <v>45959</v>
      </c>
      <c r="D878" s="81">
        <f>IF(Data!I878&lt;&gt;"",DATEDIF(Data!I878,C878,"m"),0)</f>
        <v>0</v>
      </c>
      <c r="E878" s="82">
        <f t="shared" si="29"/>
        <v>0</v>
      </c>
      <c r="I878" s="81" t="str">
        <f>CONCATENATE(Data!M878,"-",Data!L878)</f>
        <v>-</v>
      </c>
      <c r="N878" s="81">
        <f>IF(Data!P878,DATEDIF(Data!O878,Data!P878,"d"),0)</f>
        <v>0</v>
      </c>
      <c r="O878" s="81">
        <f>IF(Data!M878="CD",1,0)</f>
        <v>0</v>
      </c>
      <c r="P878" s="81">
        <f>IF(Data!M878="CD",0,1)</f>
        <v>1</v>
      </c>
      <c r="Q878" s="81">
        <f>IF(Data!Q878&gt;Data!P878,DATEDIF(Data!P878,Data!Q878,"d"),0)</f>
        <v>0</v>
      </c>
      <c r="R878" s="81">
        <f>IF(Data!R878&gt;Data!Q878,DATEDIF(Data!Q878,Data!R878,"d"),0)</f>
        <v>0</v>
      </c>
    </row>
    <row r="879" spans="3:18" x14ac:dyDescent="0.2">
      <c r="C879" s="80">
        <f t="shared" ca="1" si="28"/>
        <v>45959</v>
      </c>
      <c r="D879" s="81">
        <f>IF(Data!I879&lt;&gt;"",DATEDIF(Data!I879,C879,"m"),0)</f>
        <v>0</v>
      </c>
      <c r="E879" s="82">
        <f t="shared" si="29"/>
        <v>0</v>
      </c>
      <c r="I879" s="81" t="str">
        <f>CONCATENATE(Data!M879,"-",Data!L879)</f>
        <v>-</v>
      </c>
      <c r="N879" s="81">
        <f>IF(Data!P879,DATEDIF(Data!O879,Data!P879,"d"),0)</f>
        <v>0</v>
      </c>
      <c r="O879" s="81">
        <f>IF(Data!M879="CD",1,0)</f>
        <v>0</v>
      </c>
      <c r="P879" s="81">
        <f>IF(Data!M879="CD",0,1)</f>
        <v>1</v>
      </c>
      <c r="Q879" s="81">
        <f>IF(Data!Q879&gt;Data!P879,DATEDIF(Data!P879,Data!Q879,"d"),0)</f>
        <v>0</v>
      </c>
      <c r="R879" s="81">
        <f>IF(Data!R879&gt;Data!Q879,DATEDIF(Data!Q879,Data!R879,"d"),0)</f>
        <v>0</v>
      </c>
    </row>
    <row r="880" spans="3:18" x14ac:dyDescent="0.2">
      <c r="C880" s="80">
        <f t="shared" ca="1" si="28"/>
        <v>45959</v>
      </c>
      <c r="D880" s="81">
        <f>IF(Data!I880&lt;&gt;"",DATEDIF(Data!I880,C880,"m"),0)</f>
        <v>0</v>
      </c>
      <c r="E880" s="82">
        <f t="shared" si="29"/>
        <v>0</v>
      </c>
      <c r="I880" s="81" t="str">
        <f>CONCATENATE(Data!M880,"-",Data!L880)</f>
        <v>-</v>
      </c>
      <c r="N880" s="81">
        <f>IF(Data!P880,DATEDIF(Data!O880,Data!P880,"d"),0)</f>
        <v>0</v>
      </c>
      <c r="O880" s="81">
        <f>IF(Data!M880="CD",1,0)</f>
        <v>0</v>
      </c>
      <c r="P880" s="81">
        <f>IF(Data!M880="CD",0,1)</f>
        <v>1</v>
      </c>
      <c r="Q880" s="81">
        <f>IF(Data!Q880&gt;Data!P880,DATEDIF(Data!P880,Data!Q880,"d"),0)</f>
        <v>0</v>
      </c>
      <c r="R880" s="81">
        <f>IF(Data!R880&gt;Data!Q880,DATEDIF(Data!Q880,Data!R880,"d"),0)</f>
        <v>0</v>
      </c>
    </row>
    <row r="881" spans="3:18" x14ac:dyDescent="0.2">
      <c r="C881" s="80">
        <f t="shared" ca="1" si="28"/>
        <v>45959</v>
      </c>
      <c r="D881" s="81">
        <f>IF(Data!I881&lt;&gt;"",DATEDIF(Data!I881,C881,"m"),0)</f>
        <v>0</v>
      </c>
      <c r="E881" s="82">
        <f t="shared" si="29"/>
        <v>0</v>
      </c>
      <c r="I881" s="81" t="str">
        <f>CONCATENATE(Data!M881,"-",Data!L881)</f>
        <v>-</v>
      </c>
      <c r="N881" s="81">
        <f>IF(Data!P881,DATEDIF(Data!O881,Data!P881,"d"),0)</f>
        <v>0</v>
      </c>
      <c r="O881" s="81">
        <f>IF(Data!M881="CD",1,0)</f>
        <v>0</v>
      </c>
      <c r="P881" s="81">
        <f>IF(Data!M881="CD",0,1)</f>
        <v>1</v>
      </c>
      <c r="Q881" s="81">
        <f>IF(Data!Q881&gt;Data!P881,DATEDIF(Data!P881,Data!Q881,"d"),0)</f>
        <v>0</v>
      </c>
      <c r="R881" s="81">
        <f>IF(Data!R881&gt;Data!Q881,DATEDIF(Data!Q881,Data!R881,"d"),0)</f>
        <v>0</v>
      </c>
    </row>
    <row r="882" spans="3:18" x14ac:dyDescent="0.2">
      <c r="C882" s="80">
        <f t="shared" ca="1" si="28"/>
        <v>45959</v>
      </c>
      <c r="D882" s="81">
        <f>IF(Data!I882&lt;&gt;"",DATEDIF(Data!I882,C882,"m"),0)</f>
        <v>0</v>
      </c>
      <c r="E882" s="82">
        <f t="shared" si="29"/>
        <v>0</v>
      </c>
      <c r="I882" s="81" t="str">
        <f>CONCATENATE(Data!M882,"-",Data!L882)</f>
        <v>-</v>
      </c>
      <c r="N882" s="81">
        <f>IF(Data!P882,DATEDIF(Data!O882,Data!P882,"d"),0)</f>
        <v>0</v>
      </c>
      <c r="O882" s="81">
        <f>IF(Data!M882="CD",1,0)</f>
        <v>0</v>
      </c>
      <c r="P882" s="81">
        <f>IF(Data!M882="CD",0,1)</f>
        <v>1</v>
      </c>
      <c r="Q882" s="81">
        <f>IF(Data!Q882&gt;Data!P882,DATEDIF(Data!P882,Data!Q882,"d"),0)</f>
        <v>0</v>
      </c>
      <c r="R882" s="81">
        <f>IF(Data!R882&gt;Data!Q882,DATEDIF(Data!Q882,Data!R882,"d"),0)</f>
        <v>0</v>
      </c>
    </row>
    <row r="883" spans="3:18" x14ac:dyDescent="0.2">
      <c r="C883" s="80">
        <f t="shared" ca="1" si="28"/>
        <v>45959</v>
      </c>
      <c r="D883" s="81">
        <f>IF(Data!I883&lt;&gt;"",DATEDIF(Data!I883,C883,"m"),0)</f>
        <v>0</v>
      </c>
      <c r="E883" s="82">
        <f t="shared" si="29"/>
        <v>0</v>
      </c>
      <c r="I883" s="81" t="str">
        <f>CONCATENATE(Data!M883,"-",Data!L883)</f>
        <v>-</v>
      </c>
      <c r="N883" s="81">
        <f>IF(Data!P883,DATEDIF(Data!O883,Data!P883,"d"),0)</f>
        <v>0</v>
      </c>
      <c r="O883" s="81">
        <f>IF(Data!M883="CD",1,0)</f>
        <v>0</v>
      </c>
      <c r="P883" s="81">
        <f>IF(Data!M883="CD",0,1)</f>
        <v>1</v>
      </c>
      <c r="Q883" s="81">
        <f>IF(Data!Q883&gt;Data!P883,DATEDIF(Data!P883,Data!Q883,"d"),0)</f>
        <v>0</v>
      </c>
      <c r="R883" s="81">
        <f>IF(Data!R883&gt;Data!Q883,DATEDIF(Data!Q883,Data!R883,"d"),0)</f>
        <v>0</v>
      </c>
    </row>
    <row r="884" spans="3:18" x14ac:dyDescent="0.2">
      <c r="C884" s="80">
        <f t="shared" ca="1" si="28"/>
        <v>45959</v>
      </c>
      <c r="D884" s="81">
        <f>IF(Data!I884&lt;&gt;"",DATEDIF(Data!I884,C884,"m"),0)</f>
        <v>0</v>
      </c>
      <c r="E884" s="82">
        <f t="shared" si="29"/>
        <v>0</v>
      </c>
      <c r="I884" s="81" t="str">
        <f>CONCATENATE(Data!M884,"-",Data!L884)</f>
        <v>-</v>
      </c>
      <c r="N884" s="81">
        <f>IF(Data!P884,DATEDIF(Data!O884,Data!P884,"d"),0)</f>
        <v>0</v>
      </c>
      <c r="O884" s="81">
        <f>IF(Data!M884="CD",1,0)</f>
        <v>0</v>
      </c>
      <c r="P884" s="81">
        <f>IF(Data!M884="CD",0,1)</f>
        <v>1</v>
      </c>
      <c r="Q884" s="81">
        <f>IF(Data!Q884&gt;Data!P884,DATEDIF(Data!P884,Data!Q884,"d"),0)</f>
        <v>0</v>
      </c>
      <c r="R884" s="81">
        <f>IF(Data!R884&gt;Data!Q884,DATEDIF(Data!Q884,Data!R884,"d"),0)</f>
        <v>0</v>
      </c>
    </row>
    <row r="885" spans="3:18" x14ac:dyDescent="0.2">
      <c r="C885" s="80">
        <f t="shared" ca="1" si="28"/>
        <v>45959</v>
      </c>
      <c r="D885" s="81">
        <f>IF(Data!I885&lt;&gt;"",DATEDIF(Data!I885,C885,"m"),0)</f>
        <v>0</v>
      </c>
      <c r="E885" s="82">
        <f t="shared" si="29"/>
        <v>0</v>
      </c>
      <c r="I885" s="81" t="str">
        <f>CONCATENATE(Data!M885,"-",Data!L885)</f>
        <v>-</v>
      </c>
      <c r="N885" s="81">
        <f>IF(Data!P885,DATEDIF(Data!O885,Data!P885,"d"),0)</f>
        <v>0</v>
      </c>
      <c r="O885" s="81">
        <f>IF(Data!M885="CD",1,0)</f>
        <v>0</v>
      </c>
      <c r="P885" s="81">
        <f>IF(Data!M885="CD",0,1)</f>
        <v>1</v>
      </c>
      <c r="Q885" s="81">
        <f>IF(Data!Q885&gt;Data!P885,DATEDIF(Data!P885,Data!Q885,"d"),0)</f>
        <v>0</v>
      </c>
      <c r="R885" s="81">
        <f>IF(Data!R885&gt;Data!Q885,DATEDIF(Data!Q885,Data!R885,"d"),0)</f>
        <v>0</v>
      </c>
    </row>
    <row r="886" spans="3:18" x14ac:dyDescent="0.2">
      <c r="C886" s="80">
        <f t="shared" ca="1" si="28"/>
        <v>45959</v>
      </c>
      <c r="D886" s="81">
        <f>IF(Data!I886&lt;&gt;"",DATEDIF(Data!I886,C886,"m"),0)</f>
        <v>0</v>
      </c>
      <c r="E886" s="82">
        <f t="shared" si="29"/>
        <v>0</v>
      </c>
      <c r="I886" s="81" t="str">
        <f>CONCATENATE(Data!M886,"-",Data!L886)</f>
        <v>-</v>
      </c>
      <c r="N886" s="81">
        <f>IF(Data!P886,DATEDIF(Data!O886,Data!P886,"d"),0)</f>
        <v>0</v>
      </c>
      <c r="O886" s="81">
        <f>IF(Data!M886="CD",1,0)</f>
        <v>0</v>
      </c>
      <c r="P886" s="81">
        <f>IF(Data!M886="CD",0,1)</f>
        <v>1</v>
      </c>
      <c r="Q886" s="81">
        <f>IF(Data!Q886&gt;Data!P886,DATEDIF(Data!P886,Data!Q886,"d"),0)</f>
        <v>0</v>
      </c>
      <c r="R886" s="81">
        <f>IF(Data!R886&gt;Data!Q886,DATEDIF(Data!Q886,Data!R886,"d"),0)</f>
        <v>0</v>
      </c>
    </row>
    <row r="887" spans="3:18" x14ac:dyDescent="0.2">
      <c r="C887" s="80">
        <f t="shared" ca="1" si="28"/>
        <v>45959</v>
      </c>
      <c r="D887" s="81">
        <f>IF(Data!I887&lt;&gt;"",DATEDIF(Data!I887,C887,"m"),0)</f>
        <v>0</v>
      </c>
      <c r="E887" s="82">
        <f t="shared" si="29"/>
        <v>0</v>
      </c>
      <c r="I887" s="81" t="str">
        <f>CONCATENATE(Data!M887,"-",Data!L887)</f>
        <v>-</v>
      </c>
      <c r="N887" s="81">
        <f>IF(Data!P887,DATEDIF(Data!O887,Data!P887,"d"),0)</f>
        <v>0</v>
      </c>
      <c r="O887" s="81">
        <f>IF(Data!M887="CD",1,0)</f>
        <v>0</v>
      </c>
      <c r="P887" s="81">
        <f>IF(Data!M887="CD",0,1)</f>
        <v>1</v>
      </c>
      <c r="Q887" s="81">
        <f>IF(Data!Q887&gt;Data!P887,DATEDIF(Data!P887,Data!Q887,"d"),0)</f>
        <v>0</v>
      </c>
      <c r="R887" s="81">
        <f>IF(Data!R887&gt;Data!Q887,DATEDIF(Data!Q887,Data!R887,"d"),0)</f>
        <v>0</v>
      </c>
    </row>
    <row r="888" spans="3:18" x14ac:dyDescent="0.2">
      <c r="C888" s="80">
        <f t="shared" ca="1" si="28"/>
        <v>45959</v>
      </c>
      <c r="D888" s="81">
        <f>IF(Data!I888&lt;&gt;"",DATEDIF(Data!I888,C888,"m"),0)</f>
        <v>0</v>
      </c>
      <c r="E888" s="82">
        <f t="shared" si="29"/>
        <v>0</v>
      </c>
      <c r="I888" s="81" t="str">
        <f>CONCATENATE(Data!M888,"-",Data!L888)</f>
        <v>-</v>
      </c>
      <c r="N888" s="81">
        <f>IF(Data!P888,DATEDIF(Data!O888,Data!P888,"d"),0)</f>
        <v>0</v>
      </c>
      <c r="O888" s="81">
        <f>IF(Data!M888="CD",1,0)</f>
        <v>0</v>
      </c>
      <c r="P888" s="81">
        <f>IF(Data!M888="CD",0,1)</f>
        <v>1</v>
      </c>
      <c r="Q888" s="81">
        <f>IF(Data!Q888&gt;Data!P888,DATEDIF(Data!P888,Data!Q888,"d"),0)</f>
        <v>0</v>
      </c>
      <c r="R888" s="81">
        <f>IF(Data!R888&gt;Data!Q888,DATEDIF(Data!Q888,Data!R888,"d"),0)</f>
        <v>0</v>
      </c>
    </row>
    <row r="889" spans="3:18" x14ac:dyDescent="0.2">
      <c r="C889" s="80">
        <f t="shared" ca="1" si="28"/>
        <v>45959</v>
      </c>
      <c r="D889" s="81">
        <f>IF(Data!I889&lt;&gt;"",DATEDIF(Data!I889,C889,"m"),0)</f>
        <v>0</v>
      </c>
      <c r="E889" s="82">
        <f t="shared" si="29"/>
        <v>0</v>
      </c>
      <c r="I889" s="81" t="str">
        <f>CONCATENATE(Data!M889,"-",Data!L889)</f>
        <v>-</v>
      </c>
      <c r="N889" s="81">
        <f>IF(Data!P889,DATEDIF(Data!O889,Data!P889,"d"),0)</f>
        <v>0</v>
      </c>
      <c r="O889" s="81">
        <f>IF(Data!M889="CD",1,0)</f>
        <v>0</v>
      </c>
      <c r="P889" s="81">
        <f>IF(Data!M889="CD",0,1)</f>
        <v>1</v>
      </c>
      <c r="Q889" s="81">
        <f>IF(Data!Q889&gt;Data!P889,DATEDIF(Data!P889,Data!Q889,"d"),0)</f>
        <v>0</v>
      </c>
      <c r="R889" s="81">
        <f>IF(Data!R889&gt;Data!Q889,DATEDIF(Data!Q889,Data!R889,"d"),0)</f>
        <v>0</v>
      </c>
    </row>
    <row r="890" spans="3:18" x14ac:dyDescent="0.2">
      <c r="C890" s="80">
        <f t="shared" ca="1" si="28"/>
        <v>45959</v>
      </c>
      <c r="D890" s="81">
        <f>IF(Data!I890&lt;&gt;"",DATEDIF(Data!I890,C890,"m"),0)</f>
        <v>0</v>
      </c>
      <c r="E890" s="82">
        <f t="shared" si="29"/>
        <v>0</v>
      </c>
      <c r="I890" s="81" t="str">
        <f>CONCATENATE(Data!M890,"-",Data!L890)</f>
        <v>-</v>
      </c>
      <c r="N890" s="81">
        <f>IF(Data!P890,DATEDIF(Data!O890,Data!P890,"d"),0)</f>
        <v>0</v>
      </c>
      <c r="O890" s="81">
        <f>IF(Data!M890="CD",1,0)</f>
        <v>0</v>
      </c>
      <c r="P890" s="81">
        <f>IF(Data!M890="CD",0,1)</f>
        <v>1</v>
      </c>
      <c r="Q890" s="81">
        <f>IF(Data!Q890&gt;Data!P890,DATEDIF(Data!P890,Data!Q890,"d"),0)</f>
        <v>0</v>
      </c>
      <c r="R890" s="81">
        <f>IF(Data!R890&gt;Data!Q890,DATEDIF(Data!Q890,Data!R890,"d"),0)</f>
        <v>0</v>
      </c>
    </row>
    <row r="891" spans="3:18" x14ac:dyDescent="0.2">
      <c r="C891" s="80">
        <f t="shared" ca="1" si="28"/>
        <v>45959</v>
      </c>
      <c r="D891" s="81">
        <f>IF(Data!I891&lt;&gt;"",DATEDIF(Data!I891,C891,"m"),0)</f>
        <v>0</v>
      </c>
      <c r="E891" s="82">
        <f t="shared" si="29"/>
        <v>0</v>
      </c>
      <c r="I891" s="81" t="str">
        <f>CONCATENATE(Data!M891,"-",Data!L891)</f>
        <v>-</v>
      </c>
      <c r="N891" s="81">
        <f>IF(Data!P891,DATEDIF(Data!O891,Data!P891,"d"),0)</f>
        <v>0</v>
      </c>
      <c r="O891" s="81">
        <f>IF(Data!M891="CD",1,0)</f>
        <v>0</v>
      </c>
      <c r="P891" s="81">
        <f>IF(Data!M891="CD",0,1)</f>
        <v>1</v>
      </c>
      <c r="Q891" s="81">
        <f>IF(Data!Q891&gt;Data!P891,DATEDIF(Data!P891,Data!Q891,"d"),0)</f>
        <v>0</v>
      </c>
      <c r="R891" s="81">
        <f>IF(Data!R891&gt;Data!Q891,DATEDIF(Data!Q891,Data!R891,"d"),0)</f>
        <v>0</v>
      </c>
    </row>
    <row r="892" spans="3:18" x14ac:dyDescent="0.2">
      <c r="C892" s="80">
        <f t="shared" ca="1" si="28"/>
        <v>45959</v>
      </c>
      <c r="D892" s="81">
        <f>IF(Data!I892&lt;&gt;"",DATEDIF(Data!I892,C892,"m"),0)</f>
        <v>0</v>
      </c>
      <c r="E892" s="82">
        <f t="shared" si="29"/>
        <v>0</v>
      </c>
      <c r="I892" s="81" t="str">
        <f>CONCATENATE(Data!M892,"-",Data!L892)</f>
        <v>-</v>
      </c>
      <c r="N892" s="81">
        <f>IF(Data!P892,DATEDIF(Data!O892,Data!P892,"d"),0)</f>
        <v>0</v>
      </c>
      <c r="O892" s="81">
        <f>IF(Data!M892="CD",1,0)</f>
        <v>0</v>
      </c>
      <c r="P892" s="81">
        <f>IF(Data!M892="CD",0,1)</f>
        <v>1</v>
      </c>
      <c r="Q892" s="81">
        <f>IF(Data!Q892&gt;Data!P892,DATEDIF(Data!P892,Data!Q892,"d"),0)</f>
        <v>0</v>
      </c>
      <c r="R892" s="81">
        <f>IF(Data!R892&gt;Data!Q892,DATEDIF(Data!Q892,Data!R892,"d"),0)</f>
        <v>0</v>
      </c>
    </row>
    <row r="893" spans="3:18" x14ac:dyDescent="0.2">
      <c r="C893" s="80">
        <f t="shared" ca="1" si="28"/>
        <v>45959</v>
      </c>
      <c r="D893" s="81">
        <f>IF(Data!I893&lt;&gt;"",DATEDIF(Data!I893,C893,"m"),0)</f>
        <v>0</v>
      </c>
      <c r="E893" s="82">
        <f t="shared" si="29"/>
        <v>0</v>
      </c>
      <c r="I893" s="81" t="str">
        <f>CONCATENATE(Data!M893,"-",Data!L893)</f>
        <v>-</v>
      </c>
      <c r="N893" s="81">
        <f>IF(Data!P893,DATEDIF(Data!O893,Data!P893,"d"),0)</f>
        <v>0</v>
      </c>
      <c r="O893" s="81">
        <f>IF(Data!M893="CD",1,0)</f>
        <v>0</v>
      </c>
      <c r="P893" s="81">
        <f>IF(Data!M893="CD",0,1)</f>
        <v>1</v>
      </c>
      <c r="Q893" s="81">
        <f>IF(Data!Q893&gt;Data!P893,DATEDIF(Data!P893,Data!Q893,"d"),0)</f>
        <v>0</v>
      </c>
      <c r="R893" s="81">
        <f>IF(Data!R893&gt;Data!Q893,DATEDIF(Data!Q893,Data!R893,"d"),0)</f>
        <v>0</v>
      </c>
    </row>
    <row r="894" spans="3:18" x14ac:dyDescent="0.2">
      <c r="C894" s="80">
        <f t="shared" ca="1" si="28"/>
        <v>45959</v>
      </c>
      <c r="D894" s="81">
        <f>IF(Data!I894&lt;&gt;"",DATEDIF(Data!I894,C894,"m"),0)</f>
        <v>0</v>
      </c>
      <c r="E894" s="82">
        <f t="shared" si="29"/>
        <v>0</v>
      </c>
      <c r="I894" s="81" t="str">
        <f>CONCATENATE(Data!M894,"-",Data!L894)</f>
        <v>-</v>
      </c>
      <c r="N894" s="81">
        <f>IF(Data!P894,DATEDIF(Data!O894,Data!P894,"d"),0)</f>
        <v>0</v>
      </c>
      <c r="O894" s="81">
        <f>IF(Data!M894="CD",1,0)</f>
        <v>0</v>
      </c>
      <c r="P894" s="81">
        <f>IF(Data!M894="CD",0,1)</f>
        <v>1</v>
      </c>
      <c r="Q894" s="81">
        <f>IF(Data!Q894&gt;Data!P894,DATEDIF(Data!P894,Data!Q894,"d"),0)</f>
        <v>0</v>
      </c>
      <c r="R894" s="81">
        <f>IF(Data!R894&gt;Data!Q894,DATEDIF(Data!Q894,Data!R894,"d"),0)</f>
        <v>0</v>
      </c>
    </row>
    <row r="895" spans="3:18" x14ac:dyDescent="0.2">
      <c r="C895" s="80">
        <f t="shared" ca="1" si="28"/>
        <v>45959</v>
      </c>
      <c r="D895" s="81">
        <f>IF(Data!I895&lt;&gt;"",DATEDIF(Data!I895,C895,"m"),0)</f>
        <v>0</v>
      </c>
      <c r="E895" s="82">
        <f t="shared" si="29"/>
        <v>0</v>
      </c>
      <c r="I895" s="81" t="str">
        <f>CONCATENATE(Data!M895,"-",Data!L895)</f>
        <v>-</v>
      </c>
      <c r="N895" s="81">
        <f>IF(Data!P895,DATEDIF(Data!O895,Data!P895,"d"),0)</f>
        <v>0</v>
      </c>
      <c r="O895" s="81">
        <f>IF(Data!M895="CD",1,0)</f>
        <v>0</v>
      </c>
      <c r="P895" s="81">
        <f>IF(Data!M895="CD",0,1)</f>
        <v>1</v>
      </c>
      <c r="Q895" s="81">
        <f>IF(Data!Q895&gt;Data!P895,DATEDIF(Data!P895,Data!Q895,"d"),0)</f>
        <v>0</v>
      </c>
      <c r="R895" s="81">
        <f>IF(Data!R895&gt;Data!Q895,DATEDIF(Data!Q895,Data!R895,"d"),0)</f>
        <v>0</v>
      </c>
    </row>
    <row r="896" spans="3:18" x14ac:dyDescent="0.2">
      <c r="C896" s="80">
        <f t="shared" ca="1" si="28"/>
        <v>45959</v>
      </c>
      <c r="D896" s="81">
        <f>IF(Data!I896&lt;&gt;"",DATEDIF(Data!I896,C896,"m"),0)</f>
        <v>0</v>
      </c>
      <c r="E896" s="82">
        <f t="shared" si="29"/>
        <v>0</v>
      </c>
      <c r="I896" s="81" t="str">
        <f>CONCATENATE(Data!M896,"-",Data!L896)</f>
        <v>-</v>
      </c>
      <c r="N896" s="81">
        <f>IF(Data!P896,DATEDIF(Data!O896,Data!P896,"d"),0)</f>
        <v>0</v>
      </c>
      <c r="O896" s="81">
        <f>IF(Data!M896="CD",1,0)</f>
        <v>0</v>
      </c>
      <c r="P896" s="81">
        <f>IF(Data!M896="CD",0,1)</f>
        <v>1</v>
      </c>
      <c r="Q896" s="81">
        <f>IF(Data!Q896&gt;Data!P896,DATEDIF(Data!P896,Data!Q896,"d"),0)</f>
        <v>0</v>
      </c>
      <c r="R896" s="81">
        <f>IF(Data!R896&gt;Data!Q896,DATEDIF(Data!Q896,Data!R896,"d"),0)</f>
        <v>0</v>
      </c>
    </row>
    <row r="897" spans="3:18" x14ac:dyDescent="0.2">
      <c r="C897" s="80">
        <f t="shared" ca="1" si="28"/>
        <v>45959</v>
      </c>
      <c r="D897" s="81">
        <f>IF(Data!I897&lt;&gt;"",DATEDIF(Data!I897,C897,"m"),0)</f>
        <v>0</v>
      </c>
      <c r="E897" s="82">
        <f t="shared" si="29"/>
        <v>0</v>
      </c>
      <c r="I897" s="81" t="str">
        <f>CONCATENATE(Data!M897,"-",Data!L897)</f>
        <v>-</v>
      </c>
      <c r="N897" s="81">
        <f>IF(Data!P897,DATEDIF(Data!O897,Data!P897,"d"),0)</f>
        <v>0</v>
      </c>
      <c r="O897" s="81">
        <f>IF(Data!M897="CD",1,0)</f>
        <v>0</v>
      </c>
      <c r="P897" s="81">
        <f>IF(Data!M897="CD",0,1)</f>
        <v>1</v>
      </c>
      <c r="Q897" s="81">
        <f>IF(Data!Q897&gt;Data!P897,DATEDIF(Data!P897,Data!Q897,"d"),0)</f>
        <v>0</v>
      </c>
      <c r="R897" s="81">
        <f>IF(Data!R897&gt;Data!Q897,DATEDIF(Data!Q897,Data!R897,"d"),0)</f>
        <v>0</v>
      </c>
    </row>
    <row r="898" spans="3:18" x14ac:dyDescent="0.2">
      <c r="C898" s="80">
        <f t="shared" ref="C898:C961" ca="1" si="30">TODAY()</f>
        <v>45959</v>
      </c>
      <c r="D898" s="81">
        <f>IF(Data!I898&lt;&gt;"",DATEDIF(Data!I898,C898,"m"),0)</f>
        <v>0</v>
      </c>
      <c r="E898" s="82">
        <f t="shared" si="29"/>
        <v>0</v>
      </c>
      <c r="I898" s="81" t="str">
        <f>CONCATENATE(Data!M898,"-",Data!L898)</f>
        <v>-</v>
      </c>
      <c r="N898" s="81">
        <f>IF(Data!P898,DATEDIF(Data!O898,Data!P898,"d"),0)</f>
        <v>0</v>
      </c>
      <c r="O898" s="81">
        <f>IF(Data!M898="CD",1,0)</f>
        <v>0</v>
      </c>
      <c r="P898" s="81">
        <f>IF(Data!M898="CD",0,1)</f>
        <v>1</v>
      </c>
      <c r="Q898" s="81">
        <f>IF(Data!Q898&gt;Data!P898,DATEDIF(Data!P898,Data!Q898,"d"),0)</f>
        <v>0</v>
      </c>
      <c r="R898" s="81">
        <f>IF(Data!R898&gt;Data!Q898,DATEDIF(Data!Q898,Data!R898,"d"),0)</f>
        <v>0</v>
      </c>
    </row>
    <row r="899" spans="3:18" x14ac:dyDescent="0.2">
      <c r="C899" s="80">
        <f t="shared" ca="1" si="30"/>
        <v>45959</v>
      </c>
      <c r="D899" s="81">
        <f>IF(Data!I899&lt;&gt;"",DATEDIF(Data!I899,C899,"m"),0)</f>
        <v>0</v>
      </c>
      <c r="E899" s="82">
        <f t="shared" ref="E899:E962" si="31">D899/12</f>
        <v>0</v>
      </c>
      <c r="I899" s="81" t="str">
        <f>CONCATENATE(Data!M899,"-",Data!L899)</f>
        <v>-</v>
      </c>
      <c r="N899" s="81">
        <f>IF(Data!P899,DATEDIF(Data!O899,Data!P899,"d"),0)</f>
        <v>0</v>
      </c>
      <c r="O899" s="81">
        <f>IF(Data!M899="CD",1,0)</f>
        <v>0</v>
      </c>
      <c r="P899" s="81">
        <f>IF(Data!M899="CD",0,1)</f>
        <v>1</v>
      </c>
      <c r="Q899" s="81">
        <f>IF(Data!Q899&gt;Data!P899,DATEDIF(Data!P899,Data!Q899,"d"),0)</f>
        <v>0</v>
      </c>
      <c r="R899" s="81">
        <f>IF(Data!R899&gt;Data!Q899,DATEDIF(Data!Q899,Data!R899,"d"),0)</f>
        <v>0</v>
      </c>
    </row>
    <row r="900" spans="3:18" x14ac:dyDescent="0.2">
      <c r="C900" s="80">
        <f t="shared" ca="1" si="30"/>
        <v>45959</v>
      </c>
      <c r="D900" s="81">
        <f>IF(Data!I900&lt;&gt;"",DATEDIF(Data!I900,C900,"m"),0)</f>
        <v>0</v>
      </c>
      <c r="E900" s="82">
        <f t="shared" si="31"/>
        <v>0</v>
      </c>
      <c r="I900" s="81" t="str">
        <f>CONCATENATE(Data!M900,"-",Data!L900)</f>
        <v>-</v>
      </c>
      <c r="N900" s="81">
        <f>IF(Data!P900,DATEDIF(Data!O900,Data!P900,"d"),0)</f>
        <v>0</v>
      </c>
      <c r="O900" s="81">
        <f>IF(Data!M900="CD",1,0)</f>
        <v>0</v>
      </c>
      <c r="P900" s="81">
        <f>IF(Data!M900="CD",0,1)</f>
        <v>1</v>
      </c>
      <c r="Q900" s="81">
        <f>IF(Data!Q900&gt;Data!P900,DATEDIF(Data!P900,Data!Q900,"d"),0)</f>
        <v>0</v>
      </c>
      <c r="R900" s="81">
        <f>IF(Data!R900&gt;Data!Q900,DATEDIF(Data!Q900,Data!R900,"d"),0)</f>
        <v>0</v>
      </c>
    </row>
    <row r="901" spans="3:18" x14ac:dyDescent="0.2">
      <c r="C901" s="80">
        <f t="shared" ca="1" si="30"/>
        <v>45959</v>
      </c>
      <c r="D901" s="81">
        <f>IF(Data!I901&lt;&gt;"",DATEDIF(Data!I901,C901,"m"),0)</f>
        <v>0</v>
      </c>
      <c r="E901" s="82">
        <f t="shared" si="31"/>
        <v>0</v>
      </c>
      <c r="I901" s="81" t="str">
        <f>CONCATENATE(Data!M901,"-",Data!L901)</f>
        <v>-</v>
      </c>
      <c r="N901" s="81">
        <f>IF(Data!P901,DATEDIF(Data!O901,Data!P901,"d"),0)</f>
        <v>0</v>
      </c>
      <c r="O901" s="81">
        <f>IF(Data!M901="CD",1,0)</f>
        <v>0</v>
      </c>
      <c r="P901" s="81">
        <f>IF(Data!M901="CD",0,1)</f>
        <v>1</v>
      </c>
      <c r="Q901" s="81">
        <f>IF(Data!Q901&gt;Data!P901,DATEDIF(Data!P901,Data!Q901,"d"),0)</f>
        <v>0</v>
      </c>
      <c r="R901" s="81">
        <f>IF(Data!R901&gt;Data!Q901,DATEDIF(Data!Q901,Data!R901,"d"),0)</f>
        <v>0</v>
      </c>
    </row>
    <row r="902" spans="3:18" x14ac:dyDescent="0.2">
      <c r="C902" s="80">
        <f t="shared" ca="1" si="30"/>
        <v>45959</v>
      </c>
      <c r="D902" s="81">
        <f>IF(Data!I902&lt;&gt;"",DATEDIF(Data!I902,C902,"m"),0)</f>
        <v>0</v>
      </c>
      <c r="E902" s="82">
        <f t="shared" si="31"/>
        <v>0</v>
      </c>
      <c r="I902" s="81" t="str">
        <f>CONCATENATE(Data!M902,"-",Data!L902)</f>
        <v>-</v>
      </c>
      <c r="N902" s="81">
        <f>IF(Data!P902,DATEDIF(Data!O902,Data!P902,"d"),0)</f>
        <v>0</v>
      </c>
      <c r="O902" s="81">
        <f>IF(Data!M902="CD",1,0)</f>
        <v>0</v>
      </c>
      <c r="P902" s="81">
        <f>IF(Data!M902="CD",0,1)</f>
        <v>1</v>
      </c>
      <c r="Q902" s="81">
        <f>IF(Data!Q902&gt;Data!P902,DATEDIF(Data!P902,Data!Q902,"d"),0)</f>
        <v>0</v>
      </c>
      <c r="R902" s="81">
        <f>IF(Data!R902&gt;Data!Q902,DATEDIF(Data!Q902,Data!R902,"d"),0)</f>
        <v>0</v>
      </c>
    </row>
    <row r="903" spans="3:18" x14ac:dyDescent="0.2">
      <c r="C903" s="80">
        <f t="shared" ca="1" si="30"/>
        <v>45959</v>
      </c>
      <c r="D903" s="81">
        <f>IF(Data!I903&lt;&gt;"",DATEDIF(Data!I903,C903,"m"),0)</f>
        <v>0</v>
      </c>
      <c r="E903" s="82">
        <f t="shared" si="31"/>
        <v>0</v>
      </c>
      <c r="I903" s="81" t="str">
        <f>CONCATENATE(Data!M903,"-",Data!L903)</f>
        <v>-</v>
      </c>
      <c r="N903" s="81">
        <f>IF(Data!P903,DATEDIF(Data!O903,Data!P903,"d"),0)</f>
        <v>0</v>
      </c>
      <c r="O903" s="81">
        <f>IF(Data!M903="CD",1,0)</f>
        <v>0</v>
      </c>
      <c r="P903" s="81">
        <f>IF(Data!M903="CD",0,1)</f>
        <v>1</v>
      </c>
      <c r="Q903" s="81">
        <f>IF(Data!Q903&gt;Data!P903,DATEDIF(Data!P903,Data!Q903,"d"),0)</f>
        <v>0</v>
      </c>
      <c r="R903" s="81">
        <f>IF(Data!R903&gt;Data!Q903,DATEDIF(Data!Q903,Data!R903,"d"),0)</f>
        <v>0</v>
      </c>
    </row>
    <row r="904" spans="3:18" x14ac:dyDescent="0.2">
      <c r="C904" s="80">
        <f t="shared" ca="1" si="30"/>
        <v>45959</v>
      </c>
      <c r="D904" s="81">
        <f>IF(Data!I904&lt;&gt;"",DATEDIF(Data!I904,C904,"m"),0)</f>
        <v>0</v>
      </c>
      <c r="E904" s="82">
        <f t="shared" si="31"/>
        <v>0</v>
      </c>
      <c r="I904" s="81" t="str">
        <f>CONCATENATE(Data!M904,"-",Data!L904)</f>
        <v>-</v>
      </c>
      <c r="N904" s="81">
        <f>IF(Data!P904,DATEDIF(Data!O904,Data!P904,"d"),0)</f>
        <v>0</v>
      </c>
      <c r="O904" s="81">
        <f>IF(Data!M904="CD",1,0)</f>
        <v>0</v>
      </c>
      <c r="P904" s="81">
        <f>IF(Data!M904="CD",0,1)</f>
        <v>1</v>
      </c>
      <c r="Q904" s="81">
        <f>IF(Data!Q904&gt;Data!P904,DATEDIF(Data!P904,Data!Q904,"d"),0)</f>
        <v>0</v>
      </c>
      <c r="R904" s="81">
        <f>IF(Data!R904&gt;Data!Q904,DATEDIF(Data!Q904,Data!R904,"d"),0)</f>
        <v>0</v>
      </c>
    </row>
    <row r="905" spans="3:18" x14ac:dyDescent="0.2">
      <c r="C905" s="80">
        <f t="shared" ca="1" si="30"/>
        <v>45959</v>
      </c>
      <c r="D905" s="81">
        <f>IF(Data!I905&lt;&gt;"",DATEDIF(Data!I905,C905,"m"),0)</f>
        <v>0</v>
      </c>
      <c r="E905" s="82">
        <f t="shared" si="31"/>
        <v>0</v>
      </c>
      <c r="I905" s="81" t="str">
        <f>CONCATENATE(Data!M905,"-",Data!L905)</f>
        <v>-</v>
      </c>
      <c r="N905" s="81">
        <f>IF(Data!P905,DATEDIF(Data!O905,Data!P905,"d"),0)</f>
        <v>0</v>
      </c>
      <c r="O905" s="81">
        <f>IF(Data!M905="CD",1,0)</f>
        <v>0</v>
      </c>
      <c r="P905" s="81">
        <f>IF(Data!M905="CD",0,1)</f>
        <v>1</v>
      </c>
      <c r="Q905" s="81">
        <f>IF(Data!Q905&gt;Data!P905,DATEDIF(Data!P905,Data!Q905,"d"),0)</f>
        <v>0</v>
      </c>
      <c r="R905" s="81">
        <f>IF(Data!R905&gt;Data!Q905,DATEDIF(Data!Q905,Data!R905,"d"),0)</f>
        <v>0</v>
      </c>
    </row>
    <row r="906" spans="3:18" x14ac:dyDescent="0.2">
      <c r="C906" s="80">
        <f t="shared" ca="1" si="30"/>
        <v>45959</v>
      </c>
      <c r="D906" s="81">
        <f>IF(Data!I906&lt;&gt;"",DATEDIF(Data!I906,C906,"m"),0)</f>
        <v>0</v>
      </c>
      <c r="E906" s="82">
        <f t="shared" si="31"/>
        <v>0</v>
      </c>
      <c r="I906" s="81" t="str">
        <f>CONCATENATE(Data!M906,"-",Data!L906)</f>
        <v>-</v>
      </c>
      <c r="N906" s="81">
        <f>IF(Data!P906,DATEDIF(Data!O906,Data!P906,"d"),0)</f>
        <v>0</v>
      </c>
      <c r="O906" s="81">
        <f>IF(Data!M906="CD",1,0)</f>
        <v>0</v>
      </c>
      <c r="P906" s="81">
        <f>IF(Data!M906="CD",0,1)</f>
        <v>1</v>
      </c>
      <c r="Q906" s="81">
        <f>IF(Data!Q906&gt;Data!P906,DATEDIF(Data!P906,Data!Q906,"d"),0)</f>
        <v>0</v>
      </c>
      <c r="R906" s="81">
        <f>IF(Data!R906&gt;Data!Q906,DATEDIF(Data!Q906,Data!R906,"d"),0)</f>
        <v>0</v>
      </c>
    </row>
    <row r="907" spans="3:18" x14ac:dyDescent="0.2">
      <c r="C907" s="80">
        <f t="shared" ca="1" si="30"/>
        <v>45959</v>
      </c>
      <c r="D907" s="81">
        <f>IF(Data!I907&lt;&gt;"",DATEDIF(Data!I907,C907,"m"),0)</f>
        <v>0</v>
      </c>
      <c r="E907" s="82">
        <f t="shared" si="31"/>
        <v>0</v>
      </c>
      <c r="I907" s="81" t="str">
        <f>CONCATENATE(Data!M907,"-",Data!L907)</f>
        <v>-</v>
      </c>
      <c r="N907" s="81">
        <f>IF(Data!P907,DATEDIF(Data!O907,Data!P907,"d"),0)</f>
        <v>0</v>
      </c>
      <c r="O907" s="81">
        <f>IF(Data!M907="CD",1,0)</f>
        <v>0</v>
      </c>
      <c r="P907" s="81">
        <f>IF(Data!M907="CD",0,1)</f>
        <v>1</v>
      </c>
      <c r="Q907" s="81">
        <f>IF(Data!Q907&gt;Data!P907,DATEDIF(Data!P907,Data!Q907,"d"),0)</f>
        <v>0</v>
      </c>
      <c r="R907" s="81">
        <f>IF(Data!R907&gt;Data!Q907,DATEDIF(Data!Q907,Data!R907,"d"),0)</f>
        <v>0</v>
      </c>
    </row>
    <row r="908" spans="3:18" x14ac:dyDescent="0.2">
      <c r="C908" s="80">
        <f t="shared" ca="1" si="30"/>
        <v>45959</v>
      </c>
      <c r="D908" s="81">
        <f>IF(Data!I908&lt;&gt;"",DATEDIF(Data!I908,C908,"m"),0)</f>
        <v>0</v>
      </c>
      <c r="E908" s="82">
        <f t="shared" si="31"/>
        <v>0</v>
      </c>
      <c r="I908" s="81" t="str">
        <f>CONCATENATE(Data!M908,"-",Data!L908)</f>
        <v>-</v>
      </c>
      <c r="N908" s="81">
        <f>IF(Data!P908,DATEDIF(Data!O908,Data!P908,"d"),0)</f>
        <v>0</v>
      </c>
      <c r="O908" s="81">
        <f>IF(Data!M908="CD",1,0)</f>
        <v>0</v>
      </c>
      <c r="P908" s="81">
        <f>IF(Data!M908="CD",0,1)</f>
        <v>1</v>
      </c>
      <c r="Q908" s="81">
        <f>IF(Data!Q908&gt;Data!P908,DATEDIF(Data!P908,Data!Q908,"d"),0)</f>
        <v>0</v>
      </c>
      <c r="R908" s="81">
        <f>IF(Data!R908&gt;Data!Q908,DATEDIF(Data!Q908,Data!R908,"d"),0)</f>
        <v>0</v>
      </c>
    </row>
    <row r="909" spans="3:18" x14ac:dyDescent="0.2">
      <c r="C909" s="80">
        <f t="shared" ca="1" si="30"/>
        <v>45959</v>
      </c>
      <c r="D909" s="81">
        <f>IF(Data!I909&lt;&gt;"",DATEDIF(Data!I909,C909,"m"),0)</f>
        <v>0</v>
      </c>
      <c r="E909" s="82">
        <f t="shared" si="31"/>
        <v>0</v>
      </c>
      <c r="I909" s="81" t="str">
        <f>CONCATENATE(Data!M909,"-",Data!L909)</f>
        <v>-</v>
      </c>
      <c r="N909" s="81">
        <f>IF(Data!P909,DATEDIF(Data!O909,Data!P909,"d"),0)</f>
        <v>0</v>
      </c>
      <c r="O909" s="81">
        <f>IF(Data!M909="CD",1,0)</f>
        <v>0</v>
      </c>
      <c r="P909" s="81">
        <f>IF(Data!M909="CD",0,1)</f>
        <v>1</v>
      </c>
      <c r="Q909" s="81">
        <f>IF(Data!Q909&gt;Data!P909,DATEDIF(Data!P909,Data!Q909,"d"),0)</f>
        <v>0</v>
      </c>
      <c r="R909" s="81">
        <f>IF(Data!R909&gt;Data!Q909,DATEDIF(Data!Q909,Data!R909,"d"),0)</f>
        <v>0</v>
      </c>
    </row>
    <row r="910" spans="3:18" x14ac:dyDescent="0.2">
      <c r="C910" s="80">
        <f t="shared" ca="1" si="30"/>
        <v>45959</v>
      </c>
      <c r="D910" s="81">
        <f>IF(Data!I910&lt;&gt;"",DATEDIF(Data!I910,C910,"m"),0)</f>
        <v>0</v>
      </c>
      <c r="E910" s="82">
        <f t="shared" si="31"/>
        <v>0</v>
      </c>
      <c r="I910" s="81" t="str">
        <f>CONCATENATE(Data!M910,"-",Data!L910)</f>
        <v>-</v>
      </c>
      <c r="N910" s="81">
        <f>IF(Data!P910,DATEDIF(Data!O910,Data!P910,"d"),0)</f>
        <v>0</v>
      </c>
      <c r="O910" s="81">
        <f>IF(Data!M910="CD",1,0)</f>
        <v>0</v>
      </c>
      <c r="P910" s="81">
        <f>IF(Data!M910="CD",0,1)</f>
        <v>1</v>
      </c>
      <c r="Q910" s="81">
        <f>IF(Data!Q910&gt;Data!P910,DATEDIF(Data!P910,Data!Q910,"d"),0)</f>
        <v>0</v>
      </c>
      <c r="R910" s="81">
        <f>IF(Data!R910&gt;Data!Q910,DATEDIF(Data!Q910,Data!R910,"d"),0)</f>
        <v>0</v>
      </c>
    </row>
    <row r="911" spans="3:18" x14ac:dyDescent="0.2">
      <c r="C911" s="80">
        <f t="shared" ca="1" si="30"/>
        <v>45959</v>
      </c>
      <c r="D911" s="81">
        <f>IF(Data!I911&lt;&gt;"",DATEDIF(Data!I911,C911,"m"),0)</f>
        <v>0</v>
      </c>
      <c r="E911" s="82">
        <f t="shared" si="31"/>
        <v>0</v>
      </c>
      <c r="I911" s="81" t="str">
        <f>CONCATENATE(Data!M911,"-",Data!L911)</f>
        <v>-</v>
      </c>
      <c r="N911" s="81">
        <f>IF(Data!P911,DATEDIF(Data!O911,Data!P911,"d"),0)</f>
        <v>0</v>
      </c>
      <c r="O911" s="81">
        <f>IF(Data!M911="CD",1,0)</f>
        <v>0</v>
      </c>
      <c r="P911" s="81">
        <f>IF(Data!M911="CD",0,1)</f>
        <v>1</v>
      </c>
      <c r="Q911" s="81">
        <f>IF(Data!Q911&gt;Data!P911,DATEDIF(Data!P911,Data!Q911,"d"),0)</f>
        <v>0</v>
      </c>
      <c r="R911" s="81">
        <f>IF(Data!R911&gt;Data!Q911,DATEDIF(Data!Q911,Data!R911,"d"),0)</f>
        <v>0</v>
      </c>
    </row>
    <row r="912" spans="3:18" x14ac:dyDescent="0.2">
      <c r="C912" s="80">
        <f t="shared" ca="1" si="30"/>
        <v>45959</v>
      </c>
      <c r="D912" s="81">
        <f>IF(Data!I912&lt;&gt;"",DATEDIF(Data!I912,C912,"m"),0)</f>
        <v>0</v>
      </c>
      <c r="E912" s="82">
        <f t="shared" si="31"/>
        <v>0</v>
      </c>
      <c r="I912" s="81" t="str">
        <f>CONCATENATE(Data!M912,"-",Data!L912)</f>
        <v>-</v>
      </c>
      <c r="N912" s="81">
        <f>IF(Data!P912,DATEDIF(Data!O912,Data!P912,"d"),0)</f>
        <v>0</v>
      </c>
      <c r="O912" s="81">
        <f>IF(Data!M912="CD",1,0)</f>
        <v>0</v>
      </c>
      <c r="P912" s="81">
        <f>IF(Data!M912="CD",0,1)</f>
        <v>1</v>
      </c>
      <c r="Q912" s="81">
        <f>IF(Data!Q912&gt;Data!P912,DATEDIF(Data!P912,Data!Q912,"d"),0)</f>
        <v>0</v>
      </c>
      <c r="R912" s="81">
        <f>IF(Data!R912&gt;Data!Q912,DATEDIF(Data!Q912,Data!R912,"d"),0)</f>
        <v>0</v>
      </c>
    </row>
    <row r="913" spans="3:18" x14ac:dyDescent="0.2">
      <c r="C913" s="80">
        <f t="shared" ca="1" si="30"/>
        <v>45959</v>
      </c>
      <c r="D913" s="81">
        <f>IF(Data!I913&lt;&gt;"",DATEDIF(Data!I913,C913,"m"),0)</f>
        <v>0</v>
      </c>
      <c r="E913" s="82">
        <f t="shared" si="31"/>
        <v>0</v>
      </c>
      <c r="I913" s="81" t="str">
        <f>CONCATENATE(Data!M913,"-",Data!L913)</f>
        <v>-</v>
      </c>
      <c r="N913" s="81">
        <f>IF(Data!P913,DATEDIF(Data!O913,Data!P913,"d"),0)</f>
        <v>0</v>
      </c>
      <c r="O913" s="81">
        <f>IF(Data!M913="CD",1,0)</f>
        <v>0</v>
      </c>
      <c r="P913" s="81">
        <f>IF(Data!M913="CD",0,1)</f>
        <v>1</v>
      </c>
      <c r="Q913" s="81">
        <f>IF(Data!Q913&gt;Data!P913,DATEDIF(Data!P913,Data!Q913,"d"),0)</f>
        <v>0</v>
      </c>
      <c r="R913" s="81">
        <f>IF(Data!R913&gt;Data!Q913,DATEDIF(Data!Q913,Data!R913,"d"),0)</f>
        <v>0</v>
      </c>
    </row>
    <row r="914" spans="3:18" x14ac:dyDescent="0.2">
      <c r="C914" s="80">
        <f t="shared" ca="1" si="30"/>
        <v>45959</v>
      </c>
      <c r="D914" s="81">
        <f>IF(Data!I914&lt;&gt;"",DATEDIF(Data!I914,C914,"m"),0)</f>
        <v>0</v>
      </c>
      <c r="E914" s="82">
        <f t="shared" si="31"/>
        <v>0</v>
      </c>
      <c r="I914" s="81" t="str">
        <f>CONCATENATE(Data!M914,"-",Data!L914)</f>
        <v>-</v>
      </c>
      <c r="N914" s="81">
        <f>IF(Data!P914,DATEDIF(Data!O914,Data!P914,"d"),0)</f>
        <v>0</v>
      </c>
      <c r="O914" s="81">
        <f>IF(Data!M914="CD",1,0)</f>
        <v>0</v>
      </c>
      <c r="P914" s="81">
        <f>IF(Data!M914="CD",0,1)</f>
        <v>1</v>
      </c>
      <c r="Q914" s="81">
        <f>IF(Data!Q914&gt;Data!P914,DATEDIF(Data!P914,Data!Q914,"d"),0)</f>
        <v>0</v>
      </c>
      <c r="R914" s="81">
        <f>IF(Data!R914&gt;Data!Q914,DATEDIF(Data!Q914,Data!R914,"d"),0)</f>
        <v>0</v>
      </c>
    </row>
    <row r="915" spans="3:18" x14ac:dyDescent="0.2">
      <c r="C915" s="80">
        <f t="shared" ca="1" si="30"/>
        <v>45959</v>
      </c>
      <c r="D915" s="81">
        <f>IF(Data!I915&lt;&gt;"",DATEDIF(Data!I915,C915,"m"),0)</f>
        <v>0</v>
      </c>
      <c r="E915" s="82">
        <f t="shared" si="31"/>
        <v>0</v>
      </c>
      <c r="I915" s="81" t="str">
        <f>CONCATENATE(Data!M915,"-",Data!L915)</f>
        <v>-</v>
      </c>
      <c r="N915" s="81">
        <f>IF(Data!P915,DATEDIF(Data!O915,Data!P915,"d"),0)</f>
        <v>0</v>
      </c>
      <c r="O915" s="81">
        <f>IF(Data!M915="CD",1,0)</f>
        <v>0</v>
      </c>
      <c r="P915" s="81">
        <f>IF(Data!M915="CD",0,1)</f>
        <v>1</v>
      </c>
      <c r="Q915" s="81">
        <f>IF(Data!Q915&gt;Data!P915,DATEDIF(Data!P915,Data!Q915,"d"),0)</f>
        <v>0</v>
      </c>
      <c r="R915" s="81">
        <f>IF(Data!R915&gt;Data!Q915,DATEDIF(Data!Q915,Data!R915,"d"),0)</f>
        <v>0</v>
      </c>
    </row>
    <row r="916" spans="3:18" x14ac:dyDescent="0.2">
      <c r="C916" s="80">
        <f t="shared" ca="1" si="30"/>
        <v>45959</v>
      </c>
      <c r="D916" s="81">
        <f>IF(Data!I916&lt;&gt;"",DATEDIF(Data!I916,C916,"m"),0)</f>
        <v>0</v>
      </c>
      <c r="E916" s="82">
        <f t="shared" si="31"/>
        <v>0</v>
      </c>
      <c r="I916" s="81" t="str">
        <f>CONCATENATE(Data!M916,"-",Data!L916)</f>
        <v>-</v>
      </c>
      <c r="N916" s="81">
        <f>IF(Data!P916,DATEDIF(Data!O916,Data!P916,"d"),0)</f>
        <v>0</v>
      </c>
      <c r="O916" s="81">
        <f>IF(Data!M916="CD",1,0)</f>
        <v>0</v>
      </c>
      <c r="P916" s="81">
        <f>IF(Data!M916="CD",0,1)</f>
        <v>1</v>
      </c>
      <c r="Q916" s="81">
        <f>IF(Data!Q916&gt;Data!P916,DATEDIF(Data!P916,Data!Q916,"d"),0)</f>
        <v>0</v>
      </c>
      <c r="R916" s="81">
        <f>IF(Data!R916&gt;Data!Q916,DATEDIF(Data!Q916,Data!R916,"d"),0)</f>
        <v>0</v>
      </c>
    </row>
    <row r="917" spans="3:18" x14ac:dyDescent="0.2">
      <c r="C917" s="80">
        <f t="shared" ca="1" si="30"/>
        <v>45959</v>
      </c>
      <c r="D917" s="81">
        <f>IF(Data!I917&lt;&gt;"",DATEDIF(Data!I917,C917,"m"),0)</f>
        <v>0</v>
      </c>
      <c r="E917" s="82">
        <f t="shared" si="31"/>
        <v>0</v>
      </c>
      <c r="I917" s="81" t="str">
        <f>CONCATENATE(Data!M917,"-",Data!L917)</f>
        <v>-</v>
      </c>
      <c r="N917" s="81">
        <f>IF(Data!P917,DATEDIF(Data!O917,Data!P917,"d"),0)</f>
        <v>0</v>
      </c>
      <c r="O917" s="81">
        <f>IF(Data!M917="CD",1,0)</f>
        <v>0</v>
      </c>
      <c r="P917" s="81">
        <f>IF(Data!M917="CD",0,1)</f>
        <v>1</v>
      </c>
      <c r="Q917" s="81">
        <f>IF(Data!Q917&gt;Data!P917,DATEDIF(Data!P917,Data!Q917,"d"),0)</f>
        <v>0</v>
      </c>
      <c r="R917" s="81">
        <f>IF(Data!R917&gt;Data!Q917,DATEDIF(Data!Q917,Data!R917,"d"),0)</f>
        <v>0</v>
      </c>
    </row>
    <row r="918" spans="3:18" x14ac:dyDescent="0.2">
      <c r="C918" s="80">
        <f t="shared" ca="1" si="30"/>
        <v>45959</v>
      </c>
      <c r="D918" s="81">
        <f>IF(Data!I918&lt;&gt;"",DATEDIF(Data!I918,C918,"m"),0)</f>
        <v>0</v>
      </c>
      <c r="E918" s="82">
        <f t="shared" si="31"/>
        <v>0</v>
      </c>
      <c r="I918" s="81" t="str">
        <f>CONCATENATE(Data!M918,"-",Data!L918)</f>
        <v>-</v>
      </c>
      <c r="N918" s="81">
        <f>IF(Data!P918,DATEDIF(Data!O918,Data!P918,"d"),0)</f>
        <v>0</v>
      </c>
      <c r="O918" s="81">
        <f>IF(Data!M918="CD",1,0)</f>
        <v>0</v>
      </c>
      <c r="P918" s="81">
        <f>IF(Data!M918="CD",0,1)</f>
        <v>1</v>
      </c>
      <c r="Q918" s="81">
        <f>IF(Data!Q918&gt;Data!P918,DATEDIF(Data!P918,Data!Q918,"d"),0)</f>
        <v>0</v>
      </c>
      <c r="R918" s="81">
        <f>IF(Data!R918&gt;Data!Q918,DATEDIF(Data!Q918,Data!R918,"d"),0)</f>
        <v>0</v>
      </c>
    </row>
    <row r="919" spans="3:18" x14ac:dyDescent="0.2">
      <c r="C919" s="80">
        <f t="shared" ca="1" si="30"/>
        <v>45959</v>
      </c>
      <c r="D919" s="81">
        <f>IF(Data!I919&lt;&gt;"",DATEDIF(Data!I919,C919,"m"),0)</f>
        <v>0</v>
      </c>
      <c r="E919" s="82">
        <f t="shared" si="31"/>
        <v>0</v>
      </c>
      <c r="I919" s="81" t="str">
        <f>CONCATENATE(Data!M919,"-",Data!L919)</f>
        <v>-</v>
      </c>
      <c r="N919" s="81">
        <f>IF(Data!P919,DATEDIF(Data!O919,Data!P919,"d"),0)</f>
        <v>0</v>
      </c>
      <c r="O919" s="81">
        <f>IF(Data!M919="CD",1,0)</f>
        <v>0</v>
      </c>
      <c r="P919" s="81">
        <f>IF(Data!M919="CD",0,1)</f>
        <v>1</v>
      </c>
      <c r="Q919" s="81">
        <f>IF(Data!Q919&gt;Data!P919,DATEDIF(Data!P919,Data!Q919,"d"),0)</f>
        <v>0</v>
      </c>
      <c r="R919" s="81">
        <f>IF(Data!R919&gt;Data!Q919,DATEDIF(Data!Q919,Data!R919,"d"),0)</f>
        <v>0</v>
      </c>
    </row>
    <row r="920" spans="3:18" x14ac:dyDescent="0.2">
      <c r="C920" s="80">
        <f t="shared" ca="1" si="30"/>
        <v>45959</v>
      </c>
      <c r="D920" s="81">
        <f>IF(Data!I920&lt;&gt;"",DATEDIF(Data!I920,C920,"m"),0)</f>
        <v>0</v>
      </c>
      <c r="E920" s="82">
        <f t="shared" si="31"/>
        <v>0</v>
      </c>
      <c r="I920" s="81" t="str">
        <f>CONCATENATE(Data!M920,"-",Data!L920)</f>
        <v>-</v>
      </c>
      <c r="N920" s="81">
        <f>IF(Data!P920,DATEDIF(Data!O920,Data!P920,"d"),0)</f>
        <v>0</v>
      </c>
      <c r="O920" s="81">
        <f>IF(Data!M920="CD",1,0)</f>
        <v>0</v>
      </c>
      <c r="P920" s="81">
        <f>IF(Data!M920="CD",0,1)</f>
        <v>1</v>
      </c>
      <c r="Q920" s="81">
        <f>IF(Data!Q920&gt;Data!P920,DATEDIF(Data!P920,Data!Q920,"d"),0)</f>
        <v>0</v>
      </c>
      <c r="R920" s="81">
        <f>IF(Data!R920&gt;Data!Q920,DATEDIF(Data!Q920,Data!R920,"d"),0)</f>
        <v>0</v>
      </c>
    </row>
    <row r="921" spans="3:18" x14ac:dyDescent="0.2">
      <c r="C921" s="80">
        <f t="shared" ca="1" si="30"/>
        <v>45959</v>
      </c>
      <c r="D921" s="81">
        <f>IF(Data!I921&lt;&gt;"",DATEDIF(Data!I921,C921,"m"),0)</f>
        <v>0</v>
      </c>
      <c r="E921" s="82">
        <f t="shared" si="31"/>
        <v>0</v>
      </c>
      <c r="I921" s="81" t="str">
        <f>CONCATENATE(Data!M921,"-",Data!L921)</f>
        <v>-</v>
      </c>
      <c r="N921" s="81">
        <f>IF(Data!P921,DATEDIF(Data!O921,Data!P921,"d"),0)</f>
        <v>0</v>
      </c>
      <c r="O921" s="81">
        <f>IF(Data!M921="CD",1,0)</f>
        <v>0</v>
      </c>
      <c r="P921" s="81">
        <f>IF(Data!M921="CD",0,1)</f>
        <v>1</v>
      </c>
      <c r="Q921" s="81">
        <f>IF(Data!Q921&gt;Data!P921,DATEDIF(Data!P921,Data!Q921,"d"),0)</f>
        <v>0</v>
      </c>
      <c r="R921" s="81">
        <f>IF(Data!R921&gt;Data!Q921,DATEDIF(Data!Q921,Data!R921,"d"),0)</f>
        <v>0</v>
      </c>
    </row>
    <row r="922" spans="3:18" x14ac:dyDescent="0.2">
      <c r="C922" s="80">
        <f t="shared" ca="1" si="30"/>
        <v>45959</v>
      </c>
      <c r="D922" s="81">
        <f>IF(Data!I922&lt;&gt;"",DATEDIF(Data!I922,C922,"m"),0)</f>
        <v>0</v>
      </c>
      <c r="E922" s="82">
        <f t="shared" si="31"/>
        <v>0</v>
      </c>
      <c r="I922" s="81" t="str">
        <f>CONCATENATE(Data!M922,"-",Data!L922)</f>
        <v>-</v>
      </c>
      <c r="N922" s="81">
        <f>IF(Data!P922,DATEDIF(Data!O922,Data!P922,"d"),0)</f>
        <v>0</v>
      </c>
      <c r="O922" s="81">
        <f>IF(Data!M922="CD",1,0)</f>
        <v>0</v>
      </c>
      <c r="P922" s="81">
        <f>IF(Data!M922="CD",0,1)</f>
        <v>1</v>
      </c>
      <c r="Q922" s="81">
        <f>IF(Data!Q922&gt;Data!P922,DATEDIF(Data!P922,Data!Q922,"d"),0)</f>
        <v>0</v>
      </c>
      <c r="R922" s="81">
        <f>IF(Data!R922&gt;Data!Q922,DATEDIF(Data!Q922,Data!R922,"d"),0)</f>
        <v>0</v>
      </c>
    </row>
    <row r="923" spans="3:18" x14ac:dyDescent="0.2">
      <c r="C923" s="80">
        <f t="shared" ca="1" si="30"/>
        <v>45959</v>
      </c>
      <c r="D923" s="81">
        <f>IF(Data!I923&lt;&gt;"",DATEDIF(Data!I923,C923,"m"),0)</f>
        <v>0</v>
      </c>
      <c r="E923" s="82">
        <f t="shared" si="31"/>
        <v>0</v>
      </c>
      <c r="I923" s="81" t="str">
        <f>CONCATENATE(Data!M923,"-",Data!L923)</f>
        <v>-</v>
      </c>
      <c r="N923" s="81">
        <f>IF(Data!P923,DATEDIF(Data!O923,Data!P923,"d"),0)</f>
        <v>0</v>
      </c>
      <c r="O923" s="81">
        <f>IF(Data!M923="CD",1,0)</f>
        <v>0</v>
      </c>
      <c r="P923" s="81">
        <f>IF(Data!M923="CD",0,1)</f>
        <v>1</v>
      </c>
      <c r="Q923" s="81">
        <f>IF(Data!Q923&gt;Data!P923,DATEDIF(Data!P923,Data!Q923,"d"),0)</f>
        <v>0</v>
      </c>
      <c r="R923" s="81">
        <f>IF(Data!R923&gt;Data!Q923,DATEDIF(Data!Q923,Data!R923,"d"),0)</f>
        <v>0</v>
      </c>
    </row>
    <row r="924" spans="3:18" x14ac:dyDescent="0.2">
      <c r="C924" s="80">
        <f t="shared" ca="1" si="30"/>
        <v>45959</v>
      </c>
      <c r="D924" s="81">
        <f>IF(Data!I924&lt;&gt;"",DATEDIF(Data!I924,C924,"m"),0)</f>
        <v>0</v>
      </c>
      <c r="E924" s="82">
        <f t="shared" si="31"/>
        <v>0</v>
      </c>
      <c r="I924" s="81" t="str">
        <f>CONCATENATE(Data!M924,"-",Data!L924)</f>
        <v>-</v>
      </c>
      <c r="N924" s="81">
        <f>IF(Data!P924,DATEDIF(Data!O924,Data!P924,"d"),0)</f>
        <v>0</v>
      </c>
      <c r="O924" s="81">
        <f>IF(Data!M924="CD",1,0)</f>
        <v>0</v>
      </c>
      <c r="P924" s="81">
        <f>IF(Data!M924="CD",0,1)</f>
        <v>1</v>
      </c>
      <c r="Q924" s="81">
        <f>IF(Data!Q924&gt;Data!P924,DATEDIF(Data!P924,Data!Q924,"d"),0)</f>
        <v>0</v>
      </c>
      <c r="R924" s="81">
        <f>IF(Data!R924&gt;Data!Q924,DATEDIF(Data!Q924,Data!R924,"d"),0)</f>
        <v>0</v>
      </c>
    </row>
    <row r="925" spans="3:18" x14ac:dyDescent="0.2">
      <c r="C925" s="80">
        <f t="shared" ca="1" si="30"/>
        <v>45959</v>
      </c>
      <c r="D925" s="81">
        <f>IF(Data!I925&lt;&gt;"",DATEDIF(Data!I925,C925,"m"),0)</f>
        <v>0</v>
      </c>
      <c r="E925" s="82">
        <f t="shared" si="31"/>
        <v>0</v>
      </c>
      <c r="I925" s="81" t="str">
        <f>CONCATENATE(Data!M925,"-",Data!L925)</f>
        <v>-</v>
      </c>
      <c r="N925" s="81">
        <f>IF(Data!P925,DATEDIF(Data!O925,Data!P925,"d"),0)</f>
        <v>0</v>
      </c>
      <c r="O925" s="81">
        <f>IF(Data!M925="CD",1,0)</f>
        <v>0</v>
      </c>
      <c r="P925" s="81">
        <f>IF(Data!M925="CD",0,1)</f>
        <v>1</v>
      </c>
      <c r="Q925" s="81">
        <f>IF(Data!Q925&gt;Data!P925,DATEDIF(Data!P925,Data!Q925,"d"),0)</f>
        <v>0</v>
      </c>
      <c r="R925" s="81">
        <f>IF(Data!R925&gt;Data!Q925,DATEDIF(Data!Q925,Data!R925,"d"),0)</f>
        <v>0</v>
      </c>
    </row>
    <row r="926" spans="3:18" x14ac:dyDescent="0.2">
      <c r="C926" s="80">
        <f t="shared" ca="1" si="30"/>
        <v>45959</v>
      </c>
      <c r="D926" s="81">
        <f>IF(Data!I926&lt;&gt;"",DATEDIF(Data!I926,C926,"m"),0)</f>
        <v>0</v>
      </c>
      <c r="E926" s="82">
        <f t="shared" si="31"/>
        <v>0</v>
      </c>
      <c r="I926" s="81" t="str">
        <f>CONCATENATE(Data!M926,"-",Data!L926)</f>
        <v>-</v>
      </c>
      <c r="N926" s="81">
        <f>IF(Data!P926,DATEDIF(Data!O926,Data!P926,"d"),0)</f>
        <v>0</v>
      </c>
      <c r="O926" s="81">
        <f>IF(Data!M926="CD",1,0)</f>
        <v>0</v>
      </c>
      <c r="P926" s="81">
        <f>IF(Data!M926="CD",0,1)</f>
        <v>1</v>
      </c>
      <c r="Q926" s="81">
        <f>IF(Data!Q926&gt;Data!P926,DATEDIF(Data!P926,Data!Q926,"d"),0)</f>
        <v>0</v>
      </c>
      <c r="R926" s="81">
        <f>IF(Data!R926&gt;Data!Q926,DATEDIF(Data!Q926,Data!R926,"d"),0)</f>
        <v>0</v>
      </c>
    </row>
    <row r="927" spans="3:18" x14ac:dyDescent="0.2">
      <c r="C927" s="80">
        <f t="shared" ca="1" si="30"/>
        <v>45959</v>
      </c>
      <c r="D927" s="81">
        <f>IF(Data!I927&lt;&gt;"",DATEDIF(Data!I927,C927,"m"),0)</f>
        <v>0</v>
      </c>
      <c r="E927" s="82">
        <f t="shared" si="31"/>
        <v>0</v>
      </c>
      <c r="I927" s="81" t="str">
        <f>CONCATENATE(Data!M927,"-",Data!L927)</f>
        <v>-</v>
      </c>
      <c r="N927" s="81">
        <f>IF(Data!P927,DATEDIF(Data!O927,Data!P927,"d"),0)</f>
        <v>0</v>
      </c>
      <c r="O927" s="81">
        <f>IF(Data!M927="CD",1,0)</f>
        <v>0</v>
      </c>
      <c r="P927" s="81">
        <f>IF(Data!M927="CD",0,1)</f>
        <v>1</v>
      </c>
      <c r="Q927" s="81">
        <f>IF(Data!Q927&gt;Data!P927,DATEDIF(Data!P927,Data!Q927,"d"),0)</f>
        <v>0</v>
      </c>
      <c r="R927" s="81">
        <f>IF(Data!R927&gt;Data!Q927,DATEDIF(Data!Q927,Data!R927,"d"),0)</f>
        <v>0</v>
      </c>
    </row>
    <row r="928" spans="3:18" x14ac:dyDescent="0.2">
      <c r="C928" s="80">
        <f t="shared" ca="1" si="30"/>
        <v>45959</v>
      </c>
      <c r="D928" s="81">
        <f>IF(Data!I928&lt;&gt;"",DATEDIF(Data!I928,C928,"m"),0)</f>
        <v>0</v>
      </c>
      <c r="E928" s="82">
        <f t="shared" si="31"/>
        <v>0</v>
      </c>
      <c r="I928" s="81" t="str">
        <f>CONCATENATE(Data!M928,"-",Data!L928)</f>
        <v>-</v>
      </c>
      <c r="N928" s="81">
        <f>IF(Data!P928,DATEDIF(Data!O928,Data!P928,"d"),0)</f>
        <v>0</v>
      </c>
      <c r="O928" s="81">
        <f>IF(Data!M928="CD",1,0)</f>
        <v>0</v>
      </c>
      <c r="P928" s="81">
        <f>IF(Data!M928="CD",0,1)</f>
        <v>1</v>
      </c>
      <c r="Q928" s="81">
        <f>IF(Data!Q928&gt;Data!P928,DATEDIF(Data!P928,Data!Q928,"d"),0)</f>
        <v>0</v>
      </c>
      <c r="R928" s="81">
        <f>IF(Data!R928&gt;Data!Q928,DATEDIF(Data!Q928,Data!R928,"d"),0)</f>
        <v>0</v>
      </c>
    </row>
    <row r="929" spans="3:18" x14ac:dyDescent="0.2">
      <c r="C929" s="80">
        <f t="shared" ca="1" si="30"/>
        <v>45959</v>
      </c>
      <c r="D929" s="81">
        <f>IF(Data!I929&lt;&gt;"",DATEDIF(Data!I929,C929,"m"),0)</f>
        <v>0</v>
      </c>
      <c r="E929" s="82">
        <f t="shared" si="31"/>
        <v>0</v>
      </c>
      <c r="I929" s="81" t="str">
        <f>CONCATENATE(Data!M929,"-",Data!L929)</f>
        <v>-</v>
      </c>
      <c r="N929" s="81">
        <f>IF(Data!P929,DATEDIF(Data!O929,Data!P929,"d"),0)</f>
        <v>0</v>
      </c>
      <c r="O929" s="81">
        <f>IF(Data!M929="CD",1,0)</f>
        <v>0</v>
      </c>
      <c r="P929" s="81">
        <f>IF(Data!M929="CD",0,1)</f>
        <v>1</v>
      </c>
      <c r="Q929" s="81">
        <f>IF(Data!Q929&gt;Data!P929,DATEDIF(Data!P929,Data!Q929,"d"),0)</f>
        <v>0</v>
      </c>
      <c r="R929" s="81">
        <f>IF(Data!R929&gt;Data!Q929,DATEDIF(Data!Q929,Data!R929,"d"),0)</f>
        <v>0</v>
      </c>
    </row>
    <row r="930" spans="3:18" x14ac:dyDescent="0.2">
      <c r="C930" s="80">
        <f t="shared" ca="1" si="30"/>
        <v>45959</v>
      </c>
      <c r="D930" s="81">
        <f>IF(Data!I930&lt;&gt;"",DATEDIF(Data!I930,C930,"m"),0)</f>
        <v>0</v>
      </c>
      <c r="E930" s="82">
        <f t="shared" si="31"/>
        <v>0</v>
      </c>
      <c r="I930" s="81" t="str">
        <f>CONCATENATE(Data!M930,"-",Data!L930)</f>
        <v>-</v>
      </c>
      <c r="N930" s="81">
        <f>IF(Data!P930,DATEDIF(Data!O930,Data!P930,"d"),0)</f>
        <v>0</v>
      </c>
      <c r="O930" s="81">
        <f>IF(Data!M930="CD",1,0)</f>
        <v>0</v>
      </c>
      <c r="P930" s="81">
        <f>IF(Data!M930="CD",0,1)</f>
        <v>1</v>
      </c>
      <c r="Q930" s="81">
        <f>IF(Data!Q930&gt;Data!P930,DATEDIF(Data!P930,Data!Q930,"d"),0)</f>
        <v>0</v>
      </c>
      <c r="R930" s="81">
        <f>IF(Data!R930&gt;Data!Q930,DATEDIF(Data!Q930,Data!R930,"d"),0)</f>
        <v>0</v>
      </c>
    </row>
    <row r="931" spans="3:18" x14ac:dyDescent="0.2">
      <c r="C931" s="80">
        <f t="shared" ca="1" si="30"/>
        <v>45959</v>
      </c>
      <c r="D931" s="81">
        <f>IF(Data!I931&lt;&gt;"",DATEDIF(Data!I931,C931,"m"),0)</f>
        <v>0</v>
      </c>
      <c r="E931" s="82">
        <f t="shared" si="31"/>
        <v>0</v>
      </c>
      <c r="I931" s="81" t="str">
        <f>CONCATENATE(Data!M931,"-",Data!L931)</f>
        <v>-</v>
      </c>
      <c r="N931" s="81">
        <f>IF(Data!P931,DATEDIF(Data!O931,Data!P931,"d"),0)</f>
        <v>0</v>
      </c>
      <c r="O931" s="81">
        <f>IF(Data!M931="CD",1,0)</f>
        <v>0</v>
      </c>
      <c r="P931" s="81">
        <f>IF(Data!M931="CD",0,1)</f>
        <v>1</v>
      </c>
      <c r="Q931" s="81">
        <f>IF(Data!Q931&gt;Data!P931,DATEDIF(Data!P931,Data!Q931,"d"),0)</f>
        <v>0</v>
      </c>
      <c r="R931" s="81">
        <f>IF(Data!R931&gt;Data!Q931,DATEDIF(Data!Q931,Data!R931,"d"),0)</f>
        <v>0</v>
      </c>
    </row>
    <row r="932" spans="3:18" x14ac:dyDescent="0.2">
      <c r="C932" s="80">
        <f t="shared" ca="1" si="30"/>
        <v>45959</v>
      </c>
      <c r="D932" s="81">
        <f>IF(Data!I932&lt;&gt;"",DATEDIF(Data!I932,C932,"m"),0)</f>
        <v>0</v>
      </c>
      <c r="E932" s="82">
        <f t="shared" si="31"/>
        <v>0</v>
      </c>
      <c r="I932" s="81" t="str">
        <f>CONCATENATE(Data!M932,"-",Data!L932)</f>
        <v>-</v>
      </c>
      <c r="N932" s="81">
        <f>IF(Data!P932,DATEDIF(Data!O932,Data!P932,"d"),0)</f>
        <v>0</v>
      </c>
      <c r="O932" s="81">
        <f>IF(Data!M932="CD",1,0)</f>
        <v>0</v>
      </c>
      <c r="P932" s="81">
        <f>IF(Data!M932="CD",0,1)</f>
        <v>1</v>
      </c>
      <c r="Q932" s="81">
        <f>IF(Data!Q932&gt;Data!P932,DATEDIF(Data!P932,Data!Q932,"d"),0)</f>
        <v>0</v>
      </c>
      <c r="R932" s="81">
        <f>IF(Data!R932&gt;Data!Q932,DATEDIF(Data!Q932,Data!R932,"d"),0)</f>
        <v>0</v>
      </c>
    </row>
    <row r="933" spans="3:18" x14ac:dyDescent="0.2">
      <c r="C933" s="80">
        <f t="shared" ca="1" si="30"/>
        <v>45959</v>
      </c>
      <c r="D933" s="81">
        <f>IF(Data!I933&lt;&gt;"",DATEDIF(Data!I933,C933,"m"),0)</f>
        <v>0</v>
      </c>
      <c r="E933" s="82">
        <f t="shared" si="31"/>
        <v>0</v>
      </c>
      <c r="I933" s="81" t="str">
        <f>CONCATENATE(Data!M933,"-",Data!L933)</f>
        <v>-</v>
      </c>
      <c r="N933" s="81">
        <f>IF(Data!P933,DATEDIF(Data!O933,Data!P933,"d"),0)</f>
        <v>0</v>
      </c>
      <c r="O933" s="81">
        <f>IF(Data!M933="CD",1,0)</f>
        <v>0</v>
      </c>
      <c r="P933" s="81">
        <f>IF(Data!M933="CD",0,1)</f>
        <v>1</v>
      </c>
      <c r="Q933" s="81">
        <f>IF(Data!Q933&gt;Data!P933,DATEDIF(Data!P933,Data!Q933,"d"),0)</f>
        <v>0</v>
      </c>
      <c r="R933" s="81">
        <f>IF(Data!R933&gt;Data!Q933,DATEDIF(Data!Q933,Data!R933,"d"),0)</f>
        <v>0</v>
      </c>
    </row>
    <row r="934" spans="3:18" x14ac:dyDescent="0.2">
      <c r="C934" s="80">
        <f t="shared" ca="1" si="30"/>
        <v>45959</v>
      </c>
      <c r="D934" s="81">
        <f>IF(Data!I934&lt;&gt;"",DATEDIF(Data!I934,C934,"m"),0)</f>
        <v>0</v>
      </c>
      <c r="E934" s="82">
        <f t="shared" si="31"/>
        <v>0</v>
      </c>
      <c r="I934" s="81" t="str">
        <f>CONCATENATE(Data!M934,"-",Data!L934)</f>
        <v>-</v>
      </c>
      <c r="N934" s="81">
        <f>IF(Data!P934,DATEDIF(Data!O934,Data!P934,"d"),0)</f>
        <v>0</v>
      </c>
      <c r="O934" s="81">
        <f>IF(Data!M934="CD",1,0)</f>
        <v>0</v>
      </c>
      <c r="P934" s="81">
        <f>IF(Data!M934="CD",0,1)</f>
        <v>1</v>
      </c>
      <c r="Q934" s="81">
        <f>IF(Data!Q934&gt;Data!P934,DATEDIF(Data!P934,Data!Q934,"d"),0)</f>
        <v>0</v>
      </c>
      <c r="R934" s="81">
        <f>IF(Data!R934&gt;Data!Q934,DATEDIF(Data!Q934,Data!R934,"d"),0)</f>
        <v>0</v>
      </c>
    </row>
    <row r="935" spans="3:18" x14ac:dyDescent="0.2">
      <c r="C935" s="80">
        <f t="shared" ca="1" si="30"/>
        <v>45959</v>
      </c>
      <c r="D935" s="81">
        <f>IF(Data!I935&lt;&gt;"",DATEDIF(Data!I935,C935,"m"),0)</f>
        <v>0</v>
      </c>
      <c r="E935" s="82">
        <f t="shared" si="31"/>
        <v>0</v>
      </c>
      <c r="I935" s="81" t="str">
        <f>CONCATENATE(Data!M935,"-",Data!L935)</f>
        <v>-</v>
      </c>
      <c r="N935" s="81">
        <f>IF(Data!P935,DATEDIF(Data!O935,Data!P935,"d"),0)</f>
        <v>0</v>
      </c>
      <c r="O935" s="81">
        <f>IF(Data!M935="CD",1,0)</f>
        <v>0</v>
      </c>
      <c r="P935" s="81">
        <f>IF(Data!M935="CD",0,1)</f>
        <v>1</v>
      </c>
      <c r="Q935" s="81">
        <f>IF(Data!Q935&gt;Data!P935,DATEDIF(Data!P935,Data!Q935,"d"),0)</f>
        <v>0</v>
      </c>
      <c r="R935" s="81">
        <f>IF(Data!R935&gt;Data!Q935,DATEDIF(Data!Q935,Data!R935,"d"),0)</f>
        <v>0</v>
      </c>
    </row>
    <row r="936" spans="3:18" x14ac:dyDescent="0.2">
      <c r="C936" s="80">
        <f t="shared" ca="1" si="30"/>
        <v>45959</v>
      </c>
      <c r="D936" s="81">
        <f>IF(Data!I936&lt;&gt;"",DATEDIF(Data!I936,C936,"m"),0)</f>
        <v>0</v>
      </c>
      <c r="E936" s="82">
        <f t="shared" si="31"/>
        <v>0</v>
      </c>
      <c r="I936" s="81" t="str">
        <f>CONCATENATE(Data!M936,"-",Data!L936)</f>
        <v>-</v>
      </c>
      <c r="N936" s="81">
        <f>IF(Data!P936,DATEDIF(Data!O936,Data!P936,"d"),0)</f>
        <v>0</v>
      </c>
      <c r="O936" s="81">
        <f>IF(Data!M936="CD",1,0)</f>
        <v>0</v>
      </c>
      <c r="P936" s="81">
        <f>IF(Data!M936="CD",0,1)</f>
        <v>1</v>
      </c>
      <c r="Q936" s="81">
        <f>IF(Data!Q936&gt;Data!P936,DATEDIF(Data!P936,Data!Q936,"d"),0)</f>
        <v>0</v>
      </c>
      <c r="R936" s="81">
        <f>IF(Data!R936&gt;Data!Q936,DATEDIF(Data!Q936,Data!R936,"d"),0)</f>
        <v>0</v>
      </c>
    </row>
    <row r="937" spans="3:18" x14ac:dyDescent="0.2">
      <c r="C937" s="80">
        <f t="shared" ca="1" si="30"/>
        <v>45959</v>
      </c>
      <c r="D937" s="81">
        <f>IF(Data!I937&lt;&gt;"",DATEDIF(Data!I937,C937,"m"),0)</f>
        <v>0</v>
      </c>
      <c r="E937" s="82">
        <f t="shared" si="31"/>
        <v>0</v>
      </c>
      <c r="I937" s="81" t="str">
        <f>CONCATENATE(Data!M937,"-",Data!L937)</f>
        <v>-</v>
      </c>
      <c r="N937" s="81">
        <f>IF(Data!P937,DATEDIF(Data!O937,Data!P937,"d"),0)</f>
        <v>0</v>
      </c>
      <c r="O937" s="81">
        <f>IF(Data!M937="CD",1,0)</f>
        <v>0</v>
      </c>
      <c r="P937" s="81">
        <f>IF(Data!M937="CD",0,1)</f>
        <v>1</v>
      </c>
      <c r="Q937" s="81">
        <f>IF(Data!Q937&gt;Data!P937,DATEDIF(Data!P937,Data!Q937,"d"),0)</f>
        <v>0</v>
      </c>
      <c r="R937" s="81">
        <f>IF(Data!R937&gt;Data!Q937,DATEDIF(Data!Q937,Data!R937,"d"),0)</f>
        <v>0</v>
      </c>
    </row>
    <row r="938" spans="3:18" x14ac:dyDescent="0.2">
      <c r="C938" s="80">
        <f t="shared" ca="1" si="30"/>
        <v>45959</v>
      </c>
      <c r="D938" s="81">
        <f>IF(Data!I938&lt;&gt;"",DATEDIF(Data!I938,C938,"m"),0)</f>
        <v>0</v>
      </c>
      <c r="E938" s="82">
        <f t="shared" si="31"/>
        <v>0</v>
      </c>
      <c r="I938" s="81" t="str">
        <f>CONCATENATE(Data!M938,"-",Data!L938)</f>
        <v>-</v>
      </c>
      <c r="N938" s="81">
        <f>IF(Data!P938,DATEDIF(Data!O938,Data!P938,"d"),0)</f>
        <v>0</v>
      </c>
      <c r="O938" s="81">
        <f>IF(Data!M938="CD",1,0)</f>
        <v>0</v>
      </c>
      <c r="P938" s="81">
        <f>IF(Data!M938="CD",0,1)</f>
        <v>1</v>
      </c>
      <c r="Q938" s="81">
        <f>IF(Data!Q938&gt;Data!P938,DATEDIF(Data!P938,Data!Q938,"d"),0)</f>
        <v>0</v>
      </c>
      <c r="R938" s="81">
        <f>IF(Data!R938&gt;Data!Q938,DATEDIF(Data!Q938,Data!R938,"d"),0)</f>
        <v>0</v>
      </c>
    </row>
    <row r="939" spans="3:18" x14ac:dyDescent="0.2">
      <c r="C939" s="80">
        <f t="shared" ca="1" si="30"/>
        <v>45959</v>
      </c>
      <c r="D939" s="81">
        <f>IF(Data!I939&lt;&gt;"",DATEDIF(Data!I939,C939,"m"),0)</f>
        <v>0</v>
      </c>
      <c r="E939" s="82">
        <f t="shared" si="31"/>
        <v>0</v>
      </c>
      <c r="I939" s="81" t="str">
        <f>CONCATENATE(Data!M939,"-",Data!L939)</f>
        <v>-</v>
      </c>
      <c r="N939" s="81">
        <f>IF(Data!P939,DATEDIF(Data!O939,Data!P939,"d"),0)</f>
        <v>0</v>
      </c>
      <c r="O939" s="81">
        <f>IF(Data!M939="CD",1,0)</f>
        <v>0</v>
      </c>
      <c r="P939" s="81">
        <f>IF(Data!M939="CD",0,1)</f>
        <v>1</v>
      </c>
      <c r="Q939" s="81">
        <f>IF(Data!Q939&gt;Data!P939,DATEDIF(Data!P939,Data!Q939,"d"),0)</f>
        <v>0</v>
      </c>
      <c r="R939" s="81">
        <f>IF(Data!R939&gt;Data!Q939,DATEDIF(Data!Q939,Data!R939,"d"),0)</f>
        <v>0</v>
      </c>
    </row>
    <row r="940" spans="3:18" x14ac:dyDescent="0.2">
      <c r="C940" s="80">
        <f t="shared" ca="1" si="30"/>
        <v>45959</v>
      </c>
      <c r="D940" s="81">
        <f>IF(Data!I940&lt;&gt;"",DATEDIF(Data!I940,C940,"m"),0)</f>
        <v>0</v>
      </c>
      <c r="E940" s="82">
        <f t="shared" si="31"/>
        <v>0</v>
      </c>
      <c r="I940" s="81" t="str">
        <f>CONCATENATE(Data!M940,"-",Data!L940)</f>
        <v>-</v>
      </c>
      <c r="N940" s="81">
        <f>IF(Data!P940,DATEDIF(Data!O940,Data!P940,"d"),0)</f>
        <v>0</v>
      </c>
      <c r="O940" s="81">
        <f>IF(Data!M940="CD",1,0)</f>
        <v>0</v>
      </c>
      <c r="P940" s="81">
        <f>IF(Data!M940="CD",0,1)</f>
        <v>1</v>
      </c>
      <c r="Q940" s="81">
        <f>IF(Data!Q940&gt;Data!P940,DATEDIF(Data!P940,Data!Q940,"d"),0)</f>
        <v>0</v>
      </c>
      <c r="R940" s="81">
        <f>IF(Data!R940&gt;Data!Q940,DATEDIF(Data!Q940,Data!R940,"d"),0)</f>
        <v>0</v>
      </c>
    </row>
    <row r="941" spans="3:18" x14ac:dyDescent="0.2">
      <c r="C941" s="80">
        <f t="shared" ca="1" si="30"/>
        <v>45959</v>
      </c>
      <c r="D941" s="81">
        <f>IF(Data!I941&lt;&gt;"",DATEDIF(Data!I941,C941,"m"),0)</f>
        <v>0</v>
      </c>
      <c r="E941" s="82">
        <f t="shared" si="31"/>
        <v>0</v>
      </c>
      <c r="I941" s="81" t="str">
        <f>CONCATENATE(Data!M941,"-",Data!L941)</f>
        <v>-</v>
      </c>
      <c r="N941" s="81">
        <f>IF(Data!P941,DATEDIF(Data!O941,Data!P941,"d"),0)</f>
        <v>0</v>
      </c>
      <c r="O941" s="81">
        <f>IF(Data!M941="CD",1,0)</f>
        <v>0</v>
      </c>
      <c r="P941" s="81">
        <f>IF(Data!M941="CD",0,1)</f>
        <v>1</v>
      </c>
      <c r="Q941" s="81">
        <f>IF(Data!Q941&gt;Data!P941,DATEDIF(Data!P941,Data!Q941,"d"),0)</f>
        <v>0</v>
      </c>
      <c r="R941" s="81">
        <f>IF(Data!R941&gt;Data!Q941,DATEDIF(Data!Q941,Data!R941,"d"),0)</f>
        <v>0</v>
      </c>
    </row>
    <row r="942" spans="3:18" x14ac:dyDescent="0.2">
      <c r="C942" s="80">
        <f t="shared" ca="1" si="30"/>
        <v>45959</v>
      </c>
      <c r="D942" s="81">
        <f>IF(Data!I942&lt;&gt;"",DATEDIF(Data!I942,C942,"m"),0)</f>
        <v>0</v>
      </c>
      <c r="E942" s="82">
        <f t="shared" si="31"/>
        <v>0</v>
      </c>
      <c r="I942" s="81" t="str">
        <f>CONCATENATE(Data!M942,"-",Data!L942)</f>
        <v>-</v>
      </c>
      <c r="N942" s="81">
        <f>IF(Data!P942,DATEDIF(Data!O942,Data!P942,"d"),0)</f>
        <v>0</v>
      </c>
      <c r="O942" s="81">
        <f>IF(Data!M942="CD",1,0)</f>
        <v>0</v>
      </c>
      <c r="P942" s="81">
        <f>IF(Data!M942="CD",0,1)</f>
        <v>1</v>
      </c>
      <c r="Q942" s="81">
        <f>IF(Data!Q942&gt;Data!P942,DATEDIF(Data!P942,Data!Q942,"d"),0)</f>
        <v>0</v>
      </c>
      <c r="R942" s="81">
        <f>IF(Data!R942&gt;Data!Q942,DATEDIF(Data!Q942,Data!R942,"d"),0)</f>
        <v>0</v>
      </c>
    </row>
    <row r="943" spans="3:18" x14ac:dyDescent="0.2">
      <c r="C943" s="80">
        <f t="shared" ca="1" si="30"/>
        <v>45959</v>
      </c>
      <c r="D943" s="81">
        <f>IF(Data!I943&lt;&gt;"",DATEDIF(Data!I943,C943,"m"),0)</f>
        <v>0</v>
      </c>
      <c r="E943" s="82">
        <f t="shared" si="31"/>
        <v>0</v>
      </c>
      <c r="I943" s="81" t="str">
        <f>CONCATENATE(Data!M943,"-",Data!L943)</f>
        <v>-</v>
      </c>
      <c r="N943" s="81">
        <f>IF(Data!P943,DATEDIF(Data!O943,Data!P943,"d"),0)</f>
        <v>0</v>
      </c>
      <c r="O943" s="81">
        <f>IF(Data!M943="CD",1,0)</f>
        <v>0</v>
      </c>
      <c r="P943" s="81">
        <f>IF(Data!M943="CD",0,1)</f>
        <v>1</v>
      </c>
      <c r="Q943" s="81">
        <f>IF(Data!Q943&gt;Data!P943,DATEDIF(Data!P943,Data!Q943,"d"),0)</f>
        <v>0</v>
      </c>
      <c r="R943" s="81">
        <f>IF(Data!R943&gt;Data!Q943,DATEDIF(Data!Q943,Data!R943,"d"),0)</f>
        <v>0</v>
      </c>
    </row>
    <row r="944" spans="3:18" x14ac:dyDescent="0.2">
      <c r="C944" s="80">
        <f t="shared" ca="1" si="30"/>
        <v>45959</v>
      </c>
      <c r="D944" s="81">
        <f>IF(Data!I944&lt;&gt;"",DATEDIF(Data!I944,C944,"m"),0)</f>
        <v>0</v>
      </c>
      <c r="E944" s="82">
        <f t="shared" si="31"/>
        <v>0</v>
      </c>
      <c r="I944" s="81" t="str">
        <f>CONCATENATE(Data!M944,"-",Data!L944)</f>
        <v>-</v>
      </c>
      <c r="N944" s="81">
        <f>IF(Data!P944,DATEDIF(Data!O944,Data!P944,"d"),0)</f>
        <v>0</v>
      </c>
      <c r="O944" s="81">
        <f>IF(Data!M944="CD",1,0)</f>
        <v>0</v>
      </c>
      <c r="P944" s="81">
        <f>IF(Data!M944="CD",0,1)</f>
        <v>1</v>
      </c>
      <c r="Q944" s="81">
        <f>IF(Data!Q944&gt;Data!P944,DATEDIF(Data!P944,Data!Q944,"d"),0)</f>
        <v>0</v>
      </c>
      <c r="R944" s="81">
        <f>IF(Data!R944&gt;Data!Q944,DATEDIF(Data!Q944,Data!R944,"d"),0)</f>
        <v>0</v>
      </c>
    </row>
    <row r="945" spans="3:18" x14ac:dyDescent="0.2">
      <c r="C945" s="80">
        <f t="shared" ca="1" si="30"/>
        <v>45959</v>
      </c>
      <c r="D945" s="81">
        <f>IF(Data!I945&lt;&gt;"",DATEDIF(Data!I945,C945,"m"),0)</f>
        <v>0</v>
      </c>
      <c r="E945" s="82">
        <f t="shared" si="31"/>
        <v>0</v>
      </c>
      <c r="I945" s="81" t="str">
        <f>CONCATENATE(Data!M945,"-",Data!L945)</f>
        <v>-</v>
      </c>
      <c r="N945" s="81">
        <f>IF(Data!P945,DATEDIF(Data!O945,Data!P945,"d"),0)</f>
        <v>0</v>
      </c>
      <c r="O945" s="81">
        <f>IF(Data!M945="CD",1,0)</f>
        <v>0</v>
      </c>
      <c r="P945" s="81">
        <f>IF(Data!M945="CD",0,1)</f>
        <v>1</v>
      </c>
      <c r="Q945" s="81">
        <f>IF(Data!Q945&gt;Data!P945,DATEDIF(Data!P945,Data!Q945,"d"),0)</f>
        <v>0</v>
      </c>
      <c r="R945" s="81">
        <f>IF(Data!R945&gt;Data!Q945,DATEDIF(Data!Q945,Data!R945,"d"),0)</f>
        <v>0</v>
      </c>
    </row>
    <row r="946" spans="3:18" x14ac:dyDescent="0.2">
      <c r="C946" s="80">
        <f t="shared" ca="1" si="30"/>
        <v>45959</v>
      </c>
      <c r="D946" s="81">
        <f>IF(Data!I946&lt;&gt;"",DATEDIF(Data!I946,C946,"m"),0)</f>
        <v>0</v>
      </c>
      <c r="E946" s="82">
        <f t="shared" si="31"/>
        <v>0</v>
      </c>
      <c r="I946" s="81" t="str">
        <f>CONCATENATE(Data!M946,"-",Data!L946)</f>
        <v>-</v>
      </c>
      <c r="N946" s="81">
        <f>IF(Data!P946,DATEDIF(Data!O946,Data!P946,"d"),0)</f>
        <v>0</v>
      </c>
      <c r="O946" s="81">
        <f>IF(Data!M946="CD",1,0)</f>
        <v>0</v>
      </c>
      <c r="P946" s="81">
        <f>IF(Data!M946="CD",0,1)</f>
        <v>1</v>
      </c>
      <c r="Q946" s="81">
        <f>IF(Data!Q946&gt;Data!P946,DATEDIF(Data!P946,Data!Q946,"d"),0)</f>
        <v>0</v>
      </c>
      <c r="R946" s="81">
        <f>IF(Data!R946&gt;Data!Q946,DATEDIF(Data!Q946,Data!R946,"d"),0)</f>
        <v>0</v>
      </c>
    </row>
    <row r="947" spans="3:18" x14ac:dyDescent="0.2">
      <c r="C947" s="80">
        <f t="shared" ca="1" si="30"/>
        <v>45959</v>
      </c>
      <c r="D947" s="81">
        <f>IF(Data!I947&lt;&gt;"",DATEDIF(Data!I947,C947,"m"),0)</f>
        <v>0</v>
      </c>
      <c r="E947" s="82">
        <f t="shared" si="31"/>
        <v>0</v>
      </c>
      <c r="I947" s="81" t="str">
        <f>CONCATENATE(Data!M947,"-",Data!L947)</f>
        <v>-</v>
      </c>
      <c r="N947" s="81">
        <f>IF(Data!P947,DATEDIF(Data!O947,Data!P947,"d"),0)</f>
        <v>0</v>
      </c>
      <c r="O947" s="81">
        <f>IF(Data!M947="CD",1,0)</f>
        <v>0</v>
      </c>
      <c r="P947" s="81">
        <f>IF(Data!M947="CD",0,1)</f>
        <v>1</v>
      </c>
      <c r="Q947" s="81">
        <f>IF(Data!Q947&gt;Data!P947,DATEDIF(Data!P947,Data!Q947,"d"),0)</f>
        <v>0</v>
      </c>
      <c r="R947" s="81">
        <f>IF(Data!R947&gt;Data!Q947,DATEDIF(Data!Q947,Data!R947,"d"),0)</f>
        <v>0</v>
      </c>
    </row>
    <row r="948" spans="3:18" x14ac:dyDescent="0.2">
      <c r="C948" s="80">
        <f t="shared" ca="1" si="30"/>
        <v>45959</v>
      </c>
      <c r="D948" s="81">
        <f>IF(Data!I948&lt;&gt;"",DATEDIF(Data!I948,C948,"m"),0)</f>
        <v>0</v>
      </c>
      <c r="E948" s="82">
        <f t="shared" si="31"/>
        <v>0</v>
      </c>
      <c r="I948" s="81" t="str">
        <f>CONCATENATE(Data!M948,"-",Data!L948)</f>
        <v>-</v>
      </c>
      <c r="N948" s="81">
        <f>IF(Data!P948,DATEDIF(Data!O948,Data!P948,"d"),0)</f>
        <v>0</v>
      </c>
      <c r="O948" s="81">
        <f>IF(Data!M948="CD",1,0)</f>
        <v>0</v>
      </c>
      <c r="P948" s="81">
        <f>IF(Data!M948="CD",0,1)</f>
        <v>1</v>
      </c>
      <c r="Q948" s="81">
        <f>IF(Data!Q948&gt;Data!P948,DATEDIF(Data!P948,Data!Q948,"d"),0)</f>
        <v>0</v>
      </c>
      <c r="R948" s="81">
        <f>IF(Data!R948&gt;Data!Q948,DATEDIF(Data!Q948,Data!R948,"d"),0)</f>
        <v>0</v>
      </c>
    </row>
    <row r="949" spans="3:18" x14ac:dyDescent="0.2">
      <c r="C949" s="80">
        <f t="shared" ca="1" si="30"/>
        <v>45959</v>
      </c>
      <c r="D949" s="81">
        <f>IF(Data!I949&lt;&gt;"",DATEDIF(Data!I949,C949,"m"),0)</f>
        <v>0</v>
      </c>
      <c r="E949" s="82">
        <f t="shared" si="31"/>
        <v>0</v>
      </c>
      <c r="I949" s="81" t="str">
        <f>CONCATENATE(Data!M949,"-",Data!L949)</f>
        <v>-</v>
      </c>
      <c r="N949" s="81">
        <f>IF(Data!P949,DATEDIF(Data!O949,Data!P949,"d"),0)</f>
        <v>0</v>
      </c>
      <c r="O949" s="81">
        <f>IF(Data!M949="CD",1,0)</f>
        <v>0</v>
      </c>
      <c r="P949" s="81">
        <f>IF(Data!M949="CD",0,1)</f>
        <v>1</v>
      </c>
      <c r="Q949" s="81">
        <f>IF(Data!Q949&gt;Data!P949,DATEDIF(Data!P949,Data!Q949,"d"),0)</f>
        <v>0</v>
      </c>
      <c r="R949" s="81">
        <f>IF(Data!R949&gt;Data!Q949,DATEDIF(Data!Q949,Data!R949,"d"),0)</f>
        <v>0</v>
      </c>
    </row>
    <row r="950" spans="3:18" x14ac:dyDescent="0.2">
      <c r="C950" s="80">
        <f t="shared" ca="1" si="30"/>
        <v>45959</v>
      </c>
      <c r="D950" s="81">
        <f>IF(Data!I950&lt;&gt;"",DATEDIF(Data!I950,C950,"m"),0)</f>
        <v>0</v>
      </c>
      <c r="E950" s="82">
        <f t="shared" si="31"/>
        <v>0</v>
      </c>
      <c r="I950" s="81" t="str">
        <f>CONCATENATE(Data!M950,"-",Data!L950)</f>
        <v>-</v>
      </c>
      <c r="N950" s="81">
        <f>IF(Data!P950,DATEDIF(Data!O950,Data!P950,"d"),0)</f>
        <v>0</v>
      </c>
      <c r="O950" s="81">
        <f>IF(Data!M950="CD",1,0)</f>
        <v>0</v>
      </c>
      <c r="P950" s="81">
        <f>IF(Data!M950="CD",0,1)</f>
        <v>1</v>
      </c>
      <c r="Q950" s="81">
        <f>IF(Data!Q950&gt;Data!P950,DATEDIF(Data!P950,Data!Q950,"d"),0)</f>
        <v>0</v>
      </c>
      <c r="R950" s="81">
        <f>IF(Data!R950&gt;Data!Q950,DATEDIF(Data!Q950,Data!R950,"d"),0)</f>
        <v>0</v>
      </c>
    </row>
    <row r="951" spans="3:18" x14ac:dyDescent="0.2">
      <c r="C951" s="80">
        <f t="shared" ca="1" si="30"/>
        <v>45959</v>
      </c>
      <c r="D951" s="81">
        <f>IF(Data!I951&lt;&gt;"",DATEDIF(Data!I951,C951,"m"),0)</f>
        <v>0</v>
      </c>
      <c r="E951" s="82">
        <f t="shared" si="31"/>
        <v>0</v>
      </c>
      <c r="I951" s="81" t="str">
        <f>CONCATENATE(Data!M951,"-",Data!L951)</f>
        <v>-</v>
      </c>
      <c r="N951" s="81">
        <f>IF(Data!P951,DATEDIF(Data!O951,Data!P951,"d"),0)</f>
        <v>0</v>
      </c>
      <c r="O951" s="81">
        <f>IF(Data!M951="CD",1,0)</f>
        <v>0</v>
      </c>
      <c r="P951" s="81">
        <f>IF(Data!M951="CD",0,1)</f>
        <v>1</v>
      </c>
      <c r="Q951" s="81">
        <f>IF(Data!Q951&gt;Data!P951,DATEDIF(Data!P951,Data!Q951,"d"),0)</f>
        <v>0</v>
      </c>
      <c r="R951" s="81">
        <f>IF(Data!R951&gt;Data!Q951,DATEDIF(Data!Q951,Data!R951,"d"),0)</f>
        <v>0</v>
      </c>
    </row>
    <row r="952" spans="3:18" x14ac:dyDescent="0.2">
      <c r="C952" s="80">
        <f t="shared" ca="1" si="30"/>
        <v>45959</v>
      </c>
      <c r="D952" s="81">
        <f>IF(Data!I952&lt;&gt;"",DATEDIF(Data!I952,C952,"m"),0)</f>
        <v>0</v>
      </c>
      <c r="E952" s="82">
        <f t="shared" si="31"/>
        <v>0</v>
      </c>
      <c r="I952" s="81" t="str">
        <f>CONCATENATE(Data!M952,"-",Data!L952)</f>
        <v>-</v>
      </c>
      <c r="N952" s="81">
        <f>IF(Data!P952,DATEDIF(Data!O952,Data!P952,"d"),0)</f>
        <v>0</v>
      </c>
      <c r="O952" s="81">
        <f>IF(Data!M952="CD",1,0)</f>
        <v>0</v>
      </c>
      <c r="P952" s="81">
        <f>IF(Data!M952="CD",0,1)</f>
        <v>1</v>
      </c>
      <c r="Q952" s="81">
        <f>IF(Data!Q952&gt;Data!P952,DATEDIF(Data!P952,Data!Q952,"d"),0)</f>
        <v>0</v>
      </c>
      <c r="R952" s="81">
        <f>IF(Data!R952&gt;Data!Q952,DATEDIF(Data!Q952,Data!R952,"d"),0)</f>
        <v>0</v>
      </c>
    </row>
    <row r="953" spans="3:18" x14ac:dyDescent="0.2">
      <c r="C953" s="80">
        <f t="shared" ca="1" si="30"/>
        <v>45959</v>
      </c>
      <c r="D953" s="81">
        <f>IF(Data!I953&lt;&gt;"",DATEDIF(Data!I953,C953,"m"),0)</f>
        <v>0</v>
      </c>
      <c r="E953" s="82">
        <f t="shared" si="31"/>
        <v>0</v>
      </c>
      <c r="I953" s="81" t="str">
        <f>CONCATENATE(Data!M953,"-",Data!L953)</f>
        <v>-</v>
      </c>
      <c r="N953" s="81">
        <f>IF(Data!P953,DATEDIF(Data!O953,Data!P953,"d"),0)</f>
        <v>0</v>
      </c>
      <c r="O953" s="81">
        <f>IF(Data!M953="CD",1,0)</f>
        <v>0</v>
      </c>
      <c r="P953" s="81">
        <f>IF(Data!M953="CD",0,1)</f>
        <v>1</v>
      </c>
      <c r="Q953" s="81">
        <f>IF(Data!Q953&gt;Data!P953,DATEDIF(Data!P953,Data!Q953,"d"),0)</f>
        <v>0</v>
      </c>
      <c r="R953" s="81">
        <f>IF(Data!R953&gt;Data!Q953,DATEDIF(Data!Q953,Data!R953,"d"),0)</f>
        <v>0</v>
      </c>
    </row>
    <row r="954" spans="3:18" x14ac:dyDescent="0.2">
      <c r="C954" s="80">
        <f t="shared" ca="1" si="30"/>
        <v>45959</v>
      </c>
      <c r="D954" s="81">
        <f>IF(Data!I954&lt;&gt;"",DATEDIF(Data!I954,C954,"m"),0)</f>
        <v>0</v>
      </c>
      <c r="E954" s="82">
        <f t="shared" si="31"/>
        <v>0</v>
      </c>
      <c r="I954" s="81" t="str">
        <f>CONCATENATE(Data!M954,"-",Data!L954)</f>
        <v>-</v>
      </c>
      <c r="N954" s="81">
        <f>IF(Data!P954,DATEDIF(Data!O954,Data!P954,"d"),0)</f>
        <v>0</v>
      </c>
      <c r="O954" s="81">
        <f>IF(Data!M954="CD",1,0)</f>
        <v>0</v>
      </c>
      <c r="P954" s="81">
        <f>IF(Data!M954="CD",0,1)</f>
        <v>1</v>
      </c>
      <c r="Q954" s="81">
        <f>IF(Data!Q954&gt;Data!P954,DATEDIF(Data!P954,Data!Q954,"d"),0)</f>
        <v>0</v>
      </c>
      <c r="R954" s="81">
        <f>IF(Data!R954&gt;Data!Q954,DATEDIF(Data!Q954,Data!R954,"d"),0)</f>
        <v>0</v>
      </c>
    </row>
    <row r="955" spans="3:18" x14ac:dyDescent="0.2">
      <c r="C955" s="80">
        <f t="shared" ca="1" si="30"/>
        <v>45959</v>
      </c>
      <c r="D955" s="81">
        <f>IF(Data!I955&lt;&gt;"",DATEDIF(Data!I955,C955,"m"),0)</f>
        <v>0</v>
      </c>
      <c r="E955" s="82">
        <f t="shared" si="31"/>
        <v>0</v>
      </c>
      <c r="I955" s="81" t="str">
        <f>CONCATENATE(Data!M955,"-",Data!L955)</f>
        <v>-</v>
      </c>
      <c r="N955" s="81">
        <f>IF(Data!P955,DATEDIF(Data!O955,Data!P955,"d"),0)</f>
        <v>0</v>
      </c>
      <c r="O955" s="81">
        <f>IF(Data!M955="CD",1,0)</f>
        <v>0</v>
      </c>
      <c r="P955" s="81">
        <f>IF(Data!M955="CD",0,1)</f>
        <v>1</v>
      </c>
      <c r="Q955" s="81">
        <f>IF(Data!Q955&gt;Data!P955,DATEDIF(Data!P955,Data!Q955,"d"),0)</f>
        <v>0</v>
      </c>
      <c r="R955" s="81">
        <f>IF(Data!R955&gt;Data!Q955,DATEDIF(Data!Q955,Data!R955,"d"),0)</f>
        <v>0</v>
      </c>
    </row>
    <row r="956" spans="3:18" x14ac:dyDescent="0.2">
      <c r="C956" s="80">
        <f t="shared" ca="1" si="30"/>
        <v>45959</v>
      </c>
      <c r="D956" s="81">
        <f>IF(Data!I956&lt;&gt;"",DATEDIF(Data!I956,C956,"m"),0)</f>
        <v>0</v>
      </c>
      <c r="E956" s="82">
        <f t="shared" si="31"/>
        <v>0</v>
      </c>
      <c r="I956" s="81" t="str">
        <f>CONCATENATE(Data!M956,"-",Data!L956)</f>
        <v>-</v>
      </c>
      <c r="N956" s="81">
        <f>IF(Data!P956,DATEDIF(Data!O956,Data!P956,"d"),0)</f>
        <v>0</v>
      </c>
      <c r="O956" s="81">
        <f>IF(Data!M956="CD",1,0)</f>
        <v>0</v>
      </c>
      <c r="P956" s="81">
        <f>IF(Data!M956="CD",0,1)</f>
        <v>1</v>
      </c>
      <c r="Q956" s="81">
        <f>IF(Data!Q956&gt;Data!P956,DATEDIF(Data!P956,Data!Q956,"d"),0)</f>
        <v>0</v>
      </c>
      <c r="R956" s="81">
        <f>IF(Data!R956&gt;Data!Q956,DATEDIF(Data!Q956,Data!R956,"d"),0)</f>
        <v>0</v>
      </c>
    </row>
    <row r="957" spans="3:18" x14ac:dyDescent="0.2">
      <c r="C957" s="80">
        <f t="shared" ca="1" si="30"/>
        <v>45959</v>
      </c>
      <c r="D957" s="81">
        <f>IF(Data!I957&lt;&gt;"",DATEDIF(Data!I957,C957,"m"),0)</f>
        <v>0</v>
      </c>
      <c r="E957" s="82">
        <f t="shared" si="31"/>
        <v>0</v>
      </c>
      <c r="I957" s="81" t="str">
        <f>CONCATENATE(Data!M957,"-",Data!L957)</f>
        <v>-</v>
      </c>
      <c r="N957" s="81">
        <f>IF(Data!P957,DATEDIF(Data!O957,Data!P957,"d"),0)</f>
        <v>0</v>
      </c>
      <c r="O957" s="81">
        <f>IF(Data!M957="CD",1,0)</f>
        <v>0</v>
      </c>
      <c r="P957" s="81">
        <f>IF(Data!M957="CD",0,1)</f>
        <v>1</v>
      </c>
      <c r="Q957" s="81">
        <f>IF(Data!Q957&gt;Data!P957,DATEDIF(Data!P957,Data!Q957,"d"),0)</f>
        <v>0</v>
      </c>
      <c r="R957" s="81">
        <f>IF(Data!R957&gt;Data!Q957,DATEDIF(Data!Q957,Data!R957,"d"),0)</f>
        <v>0</v>
      </c>
    </row>
    <row r="958" spans="3:18" x14ac:dyDescent="0.2">
      <c r="C958" s="80">
        <f t="shared" ca="1" si="30"/>
        <v>45959</v>
      </c>
      <c r="D958" s="81">
        <f>IF(Data!I958&lt;&gt;"",DATEDIF(Data!I958,C958,"m"),0)</f>
        <v>0</v>
      </c>
      <c r="E958" s="82">
        <f t="shared" si="31"/>
        <v>0</v>
      </c>
      <c r="I958" s="81" t="str">
        <f>CONCATENATE(Data!M958,"-",Data!L958)</f>
        <v>-</v>
      </c>
      <c r="N958" s="81">
        <f>IF(Data!P958,DATEDIF(Data!O958,Data!P958,"d"),0)</f>
        <v>0</v>
      </c>
      <c r="O958" s="81">
        <f>IF(Data!M958="CD",1,0)</f>
        <v>0</v>
      </c>
      <c r="P958" s="81">
        <f>IF(Data!M958="CD",0,1)</f>
        <v>1</v>
      </c>
      <c r="Q958" s="81">
        <f>IF(Data!Q958&gt;Data!P958,DATEDIF(Data!P958,Data!Q958,"d"),0)</f>
        <v>0</v>
      </c>
      <c r="R958" s="81">
        <f>IF(Data!R958&gt;Data!Q958,DATEDIF(Data!Q958,Data!R958,"d"),0)</f>
        <v>0</v>
      </c>
    </row>
    <row r="959" spans="3:18" x14ac:dyDescent="0.2">
      <c r="C959" s="80">
        <f t="shared" ca="1" si="30"/>
        <v>45959</v>
      </c>
      <c r="D959" s="81">
        <f>IF(Data!I959&lt;&gt;"",DATEDIF(Data!I959,C959,"m"),0)</f>
        <v>0</v>
      </c>
      <c r="E959" s="82">
        <f t="shared" si="31"/>
        <v>0</v>
      </c>
      <c r="I959" s="81" t="str">
        <f>CONCATENATE(Data!M959,"-",Data!L959)</f>
        <v>-</v>
      </c>
      <c r="N959" s="81">
        <f>IF(Data!P959,DATEDIF(Data!O959,Data!P959,"d"),0)</f>
        <v>0</v>
      </c>
      <c r="O959" s="81">
        <f>IF(Data!M959="CD",1,0)</f>
        <v>0</v>
      </c>
      <c r="P959" s="81">
        <f>IF(Data!M959="CD",0,1)</f>
        <v>1</v>
      </c>
      <c r="Q959" s="81">
        <f>IF(Data!Q959&gt;Data!P959,DATEDIF(Data!P959,Data!Q959,"d"),0)</f>
        <v>0</v>
      </c>
      <c r="R959" s="81">
        <f>IF(Data!R959&gt;Data!Q959,DATEDIF(Data!Q959,Data!R959,"d"),0)</f>
        <v>0</v>
      </c>
    </row>
    <row r="960" spans="3:18" x14ac:dyDescent="0.2">
      <c r="C960" s="80">
        <f t="shared" ca="1" si="30"/>
        <v>45959</v>
      </c>
      <c r="D960" s="81">
        <f>IF(Data!I960&lt;&gt;"",DATEDIF(Data!I960,C960,"m"),0)</f>
        <v>0</v>
      </c>
      <c r="E960" s="82">
        <f t="shared" si="31"/>
        <v>0</v>
      </c>
      <c r="I960" s="81" t="str">
        <f>CONCATENATE(Data!M960,"-",Data!L960)</f>
        <v>-</v>
      </c>
      <c r="N960" s="81">
        <f>IF(Data!P960,DATEDIF(Data!O960,Data!P960,"d"),0)</f>
        <v>0</v>
      </c>
      <c r="O960" s="81">
        <f>IF(Data!M960="CD",1,0)</f>
        <v>0</v>
      </c>
      <c r="P960" s="81">
        <f>IF(Data!M960="CD",0,1)</f>
        <v>1</v>
      </c>
      <c r="Q960" s="81">
        <f>IF(Data!Q960&gt;Data!P960,DATEDIF(Data!P960,Data!Q960,"d"),0)</f>
        <v>0</v>
      </c>
      <c r="R960" s="81">
        <f>IF(Data!R960&gt;Data!Q960,DATEDIF(Data!Q960,Data!R960,"d"),0)</f>
        <v>0</v>
      </c>
    </row>
    <row r="961" spans="3:18" x14ac:dyDescent="0.2">
      <c r="C961" s="80">
        <f t="shared" ca="1" si="30"/>
        <v>45959</v>
      </c>
      <c r="D961" s="81">
        <f>IF(Data!I961&lt;&gt;"",DATEDIF(Data!I961,C961,"m"),0)</f>
        <v>0</v>
      </c>
      <c r="E961" s="82">
        <f t="shared" si="31"/>
        <v>0</v>
      </c>
      <c r="I961" s="81" t="str">
        <f>CONCATENATE(Data!M961,"-",Data!L961)</f>
        <v>-</v>
      </c>
      <c r="N961" s="81">
        <f>IF(Data!P961,DATEDIF(Data!O961,Data!P961,"d"),0)</f>
        <v>0</v>
      </c>
      <c r="O961" s="81">
        <f>IF(Data!M961="CD",1,0)</f>
        <v>0</v>
      </c>
      <c r="P961" s="81">
        <f>IF(Data!M961="CD",0,1)</f>
        <v>1</v>
      </c>
      <c r="Q961" s="81">
        <f>IF(Data!Q961&gt;Data!P961,DATEDIF(Data!P961,Data!Q961,"d"),0)</f>
        <v>0</v>
      </c>
      <c r="R961" s="81">
        <f>IF(Data!R961&gt;Data!Q961,DATEDIF(Data!Q961,Data!R961,"d"),0)</f>
        <v>0</v>
      </c>
    </row>
    <row r="962" spans="3:18" x14ac:dyDescent="0.2">
      <c r="C962" s="80">
        <f t="shared" ref="C962:C1025" ca="1" si="32">TODAY()</f>
        <v>45959</v>
      </c>
      <c r="D962" s="81">
        <f>IF(Data!I962&lt;&gt;"",DATEDIF(Data!I962,C962,"m"),0)</f>
        <v>0</v>
      </c>
      <c r="E962" s="82">
        <f t="shared" si="31"/>
        <v>0</v>
      </c>
      <c r="I962" s="81" t="str">
        <f>CONCATENATE(Data!M962,"-",Data!L962)</f>
        <v>-</v>
      </c>
      <c r="N962" s="81">
        <f>IF(Data!P962,DATEDIF(Data!O962,Data!P962,"d"),0)</f>
        <v>0</v>
      </c>
      <c r="O962" s="81">
        <f>IF(Data!M962="CD",1,0)</f>
        <v>0</v>
      </c>
      <c r="P962" s="81">
        <f>IF(Data!M962="CD",0,1)</f>
        <v>1</v>
      </c>
      <c r="Q962" s="81">
        <f>IF(Data!Q962&gt;Data!P962,DATEDIF(Data!P962,Data!Q962,"d"),0)</f>
        <v>0</v>
      </c>
      <c r="R962" s="81">
        <f>IF(Data!R962&gt;Data!Q962,DATEDIF(Data!Q962,Data!R962,"d"),0)</f>
        <v>0</v>
      </c>
    </row>
    <row r="963" spans="3:18" x14ac:dyDescent="0.2">
      <c r="C963" s="80">
        <f t="shared" ca="1" si="32"/>
        <v>45959</v>
      </c>
      <c r="D963" s="81">
        <f>IF(Data!I963&lt;&gt;"",DATEDIF(Data!I963,C963,"m"),0)</f>
        <v>0</v>
      </c>
      <c r="E963" s="82">
        <f t="shared" ref="E963:E1026" si="33">D963/12</f>
        <v>0</v>
      </c>
      <c r="I963" s="81" t="str">
        <f>CONCATENATE(Data!M963,"-",Data!L963)</f>
        <v>-</v>
      </c>
      <c r="N963" s="81">
        <f>IF(Data!P963,DATEDIF(Data!O963,Data!P963,"d"),0)</f>
        <v>0</v>
      </c>
      <c r="O963" s="81">
        <f>IF(Data!M963="CD",1,0)</f>
        <v>0</v>
      </c>
      <c r="P963" s="81">
        <f>IF(Data!M963="CD",0,1)</f>
        <v>1</v>
      </c>
      <c r="Q963" s="81">
        <f>IF(Data!Q963&gt;Data!P963,DATEDIF(Data!P963,Data!Q963,"d"),0)</f>
        <v>0</v>
      </c>
      <c r="R963" s="81">
        <f>IF(Data!R963&gt;Data!Q963,DATEDIF(Data!Q963,Data!R963,"d"),0)</f>
        <v>0</v>
      </c>
    </row>
    <row r="964" spans="3:18" x14ac:dyDescent="0.2">
      <c r="C964" s="80">
        <f t="shared" ca="1" si="32"/>
        <v>45959</v>
      </c>
      <c r="D964" s="81">
        <f>IF(Data!I964&lt;&gt;"",DATEDIF(Data!I964,C964,"m"),0)</f>
        <v>0</v>
      </c>
      <c r="E964" s="82">
        <f t="shared" si="33"/>
        <v>0</v>
      </c>
      <c r="I964" s="81" t="str">
        <f>CONCATENATE(Data!M964,"-",Data!L964)</f>
        <v>-</v>
      </c>
      <c r="N964" s="81">
        <f>IF(Data!P964,DATEDIF(Data!O964,Data!P964,"d"),0)</f>
        <v>0</v>
      </c>
      <c r="O964" s="81">
        <f>IF(Data!M964="CD",1,0)</f>
        <v>0</v>
      </c>
      <c r="P964" s="81">
        <f>IF(Data!M964="CD",0,1)</f>
        <v>1</v>
      </c>
      <c r="Q964" s="81">
        <f>IF(Data!Q964&gt;Data!P964,DATEDIF(Data!P964,Data!Q964,"d"),0)</f>
        <v>0</v>
      </c>
      <c r="R964" s="81">
        <f>IF(Data!R964&gt;Data!Q964,DATEDIF(Data!Q964,Data!R964,"d"),0)</f>
        <v>0</v>
      </c>
    </row>
    <row r="965" spans="3:18" x14ac:dyDescent="0.2">
      <c r="C965" s="80">
        <f t="shared" ca="1" si="32"/>
        <v>45959</v>
      </c>
      <c r="D965" s="81">
        <f>IF(Data!I965&lt;&gt;"",DATEDIF(Data!I965,C965,"m"),0)</f>
        <v>0</v>
      </c>
      <c r="E965" s="82">
        <f t="shared" si="33"/>
        <v>0</v>
      </c>
      <c r="I965" s="81" t="str">
        <f>CONCATENATE(Data!M965,"-",Data!L965)</f>
        <v>-</v>
      </c>
      <c r="N965" s="81">
        <f>IF(Data!P965,DATEDIF(Data!O965,Data!P965,"d"),0)</f>
        <v>0</v>
      </c>
      <c r="O965" s="81">
        <f>IF(Data!M965="CD",1,0)</f>
        <v>0</v>
      </c>
      <c r="P965" s="81">
        <f>IF(Data!M965="CD",0,1)</f>
        <v>1</v>
      </c>
      <c r="Q965" s="81">
        <f>IF(Data!Q965&gt;Data!P965,DATEDIF(Data!P965,Data!Q965,"d"),0)</f>
        <v>0</v>
      </c>
      <c r="R965" s="81">
        <f>IF(Data!R965&gt;Data!Q965,DATEDIF(Data!Q965,Data!R965,"d"),0)</f>
        <v>0</v>
      </c>
    </row>
    <row r="966" spans="3:18" x14ac:dyDescent="0.2">
      <c r="C966" s="80">
        <f t="shared" ca="1" si="32"/>
        <v>45959</v>
      </c>
      <c r="D966" s="81">
        <f>IF(Data!I966&lt;&gt;"",DATEDIF(Data!I966,C966,"m"),0)</f>
        <v>0</v>
      </c>
      <c r="E966" s="82">
        <f t="shared" si="33"/>
        <v>0</v>
      </c>
      <c r="I966" s="81" t="str">
        <f>CONCATENATE(Data!M966,"-",Data!L966)</f>
        <v>-</v>
      </c>
      <c r="N966" s="81">
        <f>IF(Data!P966,DATEDIF(Data!O966,Data!P966,"d"),0)</f>
        <v>0</v>
      </c>
      <c r="O966" s="81">
        <f>IF(Data!M966="CD",1,0)</f>
        <v>0</v>
      </c>
      <c r="P966" s="81">
        <f>IF(Data!M966="CD",0,1)</f>
        <v>1</v>
      </c>
      <c r="Q966" s="81">
        <f>IF(Data!Q966&gt;Data!P966,DATEDIF(Data!P966,Data!Q966,"d"),0)</f>
        <v>0</v>
      </c>
      <c r="R966" s="81">
        <f>IF(Data!R966&gt;Data!Q966,DATEDIF(Data!Q966,Data!R966,"d"),0)</f>
        <v>0</v>
      </c>
    </row>
    <row r="967" spans="3:18" x14ac:dyDescent="0.2">
      <c r="C967" s="80">
        <f t="shared" ca="1" si="32"/>
        <v>45959</v>
      </c>
      <c r="D967" s="81">
        <f>IF(Data!I967&lt;&gt;"",DATEDIF(Data!I967,C967,"m"),0)</f>
        <v>0</v>
      </c>
      <c r="E967" s="82">
        <f t="shared" si="33"/>
        <v>0</v>
      </c>
      <c r="I967" s="81" t="str">
        <f>CONCATENATE(Data!M967,"-",Data!L967)</f>
        <v>-</v>
      </c>
      <c r="N967" s="81">
        <f>IF(Data!P967,DATEDIF(Data!O967,Data!P967,"d"),0)</f>
        <v>0</v>
      </c>
      <c r="O967" s="81">
        <f>IF(Data!M967="CD",1,0)</f>
        <v>0</v>
      </c>
      <c r="P967" s="81">
        <f>IF(Data!M967="CD",0,1)</f>
        <v>1</v>
      </c>
      <c r="Q967" s="81">
        <f>IF(Data!Q967&gt;Data!P967,DATEDIF(Data!P967,Data!Q967,"d"),0)</f>
        <v>0</v>
      </c>
      <c r="R967" s="81">
        <f>IF(Data!R967&gt;Data!Q967,DATEDIF(Data!Q967,Data!R967,"d"),0)</f>
        <v>0</v>
      </c>
    </row>
    <row r="968" spans="3:18" x14ac:dyDescent="0.2">
      <c r="C968" s="80">
        <f t="shared" ca="1" si="32"/>
        <v>45959</v>
      </c>
      <c r="D968" s="81">
        <f>IF(Data!I968&lt;&gt;"",DATEDIF(Data!I968,C968,"m"),0)</f>
        <v>0</v>
      </c>
      <c r="E968" s="82">
        <f t="shared" si="33"/>
        <v>0</v>
      </c>
      <c r="I968" s="81" t="str">
        <f>CONCATENATE(Data!M968,"-",Data!L968)</f>
        <v>-</v>
      </c>
      <c r="N968" s="81">
        <f>IF(Data!P968,DATEDIF(Data!O968,Data!P968,"d"),0)</f>
        <v>0</v>
      </c>
      <c r="O968" s="81">
        <f>IF(Data!M968="CD",1,0)</f>
        <v>0</v>
      </c>
      <c r="P968" s="81">
        <f>IF(Data!M968="CD",0,1)</f>
        <v>1</v>
      </c>
      <c r="Q968" s="81">
        <f>IF(Data!Q968&gt;Data!P968,DATEDIF(Data!P968,Data!Q968,"d"),0)</f>
        <v>0</v>
      </c>
      <c r="R968" s="81">
        <f>IF(Data!R968&gt;Data!Q968,DATEDIF(Data!Q968,Data!R968,"d"),0)</f>
        <v>0</v>
      </c>
    </row>
    <row r="969" spans="3:18" x14ac:dyDescent="0.2">
      <c r="C969" s="80">
        <f t="shared" ca="1" si="32"/>
        <v>45959</v>
      </c>
      <c r="D969" s="81">
        <f>IF(Data!I969&lt;&gt;"",DATEDIF(Data!I969,C969,"m"),0)</f>
        <v>0</v>
      </c>
      <c r="E969" s="82">
        <f t="shared" si="33"/>
        <v>0</v>
      </c>
      <c r="I969" s="81" t="str">
        <f>CONCATENATE(Data!M969,"-",Data!L969)</f>
        <v>-</v>
      </c>
      <c r="N969" s="81">
        <f>IF(Data!P969,DATEDIF(Data!O969,Data!P969,"d"),0)</f>
        <v>0</v>
      </c>
      <c r="O969" s="81">
        <f>IF(Data!M969="CD",1,0)</f>
        <v>0</v>
      </c>
      <c r="P969" s="81">
        <f>IF(Data!M969="CD",0,1)</f>
        <v>1</v>
      </c>
      <c r="Q969" s="81">
        <f>IF(Data!Q969&gt;Data!P969,DATEDIF(Data!P969,Data!Q969,"d"),0)</f>
        <v>0</v>
      </c>
      <c r="R969" s="81">
        <f>IF(Data!R969&gt;Data!Q969,DATEDIF(Data!Q969,Data!R969,"d"),0)</f>
        <v>0</v>
      </c>
    </row>
    <row r="970" spans="3:18" x14ac:dyDescent="0.2">
      <c r="C970" s="80">
        <f t="shared" ca="1" si="32"/>
        <v>45959</v>
      </c>
      <c r="D970" s="81">
        <f>IF(Data!I970&lt;&gt;"",DATEDIF(Data!I970,C970,"m"),0)</f>
        <v>0</v>
      </c>
      <c r="E970" s="82">
        <f t="shared" si="33"/>
        <v>0</v>
      </c>
      <c r="I970" s="81" t="str">
        <f>CONCATENATE(Data!M970,"-",Data!L970)</f>
        <v>-</v>
      </c>
      <c r="N970" s="81">
        <f>IF(Data!P970,DATEDIF(Data!O970,Data!P970,"d"),0)</f>
        <v>0</v>
      </c>
      <c r="O970" s="81">
        <f>IF(Data!M970="CD",1,0)</f>
        <v>0</v>
      </c>
      <c r="P970" s="81">
        <f>IF(Data!M970="CD",0,1)</f>
        <v>1</v>
      </c>
      <c r="Q970" s="81">
        <f>IF(Data!Q970&gt;Data!P970,DATEDIF(Data!P970,Data!Q970,"d"),0)</f>
        <v>0</v>
      </c>
      <c r="R970" s="81">
        <f>IF(Data!R970&gt;Data!Q970,DATEDIF(Data!Q970,Data!R970,"d"),0)</f>
        <v>0</v>
      </c>
    </row>
    <row r="971" spans="3:18" x14ac:dyDescent="0.2">
      <c r="C971" s="80">
        <f t="shared" ca="1" si="32"/>
        <v>45959</v>
      </c>
      <c r="D971" s="81">
        <f>IF(Data!I971&lt;&gt;"",DATEDIF(Data!I971,C971,"m"),0)</f>
        <v>0</v>
      </c>
      <c r="E971" s="82">
        <f t="shared" si="33"/>
        <v>0</v>
      </c>
      <c r="I971" s="81" t="str">
        <f>CONCATENATE(Data!M971,"-",Data!L971)</f>
        <v>-</v>
      </c>
      <c r="N971" s="81">
        <f>IF(Data!P971,DATEDIF(Data!O971,Data!P971,"d"),0)</f>
        <v>0</v>
      </c>
      <c r="O971" s="81">
        <f>IF(Data!M971="CD",1,0)</f>
        <v>0</v>
      </c>
      <c r="P971" s="81">
        <f>IF(Data!M971="CD",0,1)</f>
        <v>1</v>
      </c>
      <c r="Q971" s="81">
        <f>IF(Data!Q971&gt;Data!P971,DATEDIF(Data!P971,Data!Q971,"d"),0)</f>
        <v>0</v>
      </c>
      <c r="R971" s="81">
        <f>IF(Data!R971&gt;Data!Q971,DATEDIF(Data!Q971,Data!R971,"d"),0)</f>
        <v>0</v>
      </c>
    </row>
    <row r="972" spans="3:18" x14ac:dyDescent="0.2">
      <c r="C972" s="80">
        <f t="shared" ca="1" si="32"/>
        <v>45959</v>
      </c>
      <c r="D972" s="81">
        <f>IF(Data!I972&lt;&gt;"",DATEDIF(Data!I972,C972,"m"),0)</f>
        <v>0</v>
      </c>
      <c r="E972" s="82">
        <f t="shared" si="33"/>
        <v>0</v>
      </c>
      <c r="I972" s="81" t="str">
        <f>CONCATENATE(Data!M972,"-",Data!L972)</f>
        <v>-</v>
      </c>
      <c r="N972" s="81">
        <f>IF(Data!P972,DATEDIF(Data!O972,Data!P972,"d"),0)</f>
        <v>0</v>
      </c>
      <c r="O972" s="81">
        <f>IF(Data!M972="CD",1,0)</f>
        <v>0</v>
      </c>
      <c r="P972" s="81">
        <f>IF(Data!M972="CD",0,1)</f>
        <v>1</v>
      </c>
      <c r="Q972" s="81">
        <f>IF(Data!Q972&gt;Data!P972,DATEDIF(Data!P972,Data!Q972,"d"),0)</f>
        <v>0</v>
      </c>
      <c r="R972" s="81">
        <f>IF(Data!R972&gt;Data!Q972,DATEDIF(Data!Q972,Data!R972,"d"),0)</f>
        <v>0</v>
      </c>
    </row>
    <row r="973" spans="3:18" x14ac:dyDescent="0.2">
      <c r="C973" s="80">
        <f t="shared" ca="1" si="32"/>
        <v>45959</v>
      </c>
      <c r="D973" s="81">
        <f>IF(Data!I973&lt;&gt;"",DATEDIF(Data!I973,C973,"m"),0)</f>
        <v>0</v>
      </c>
      <c r="E973" s="82">
        <f t="shared" si="33"/>
        <v>0</v>
      </c>
      <c r="I973" s="81" t="str">
        <f>CONCATENATE(Data!M973,"-",Data!L973)</f>
        <v>-</v>
      </c>
      <c r="N973" s="81">
        <f>IF(Data!P973,DATEDIF(Data!O973,Data!P973,"d"),0)</f>
        <v>0</v>
      </c>
      <c r="O973" s="81">
        <f>IF(Data!M973="CD",1,0)</f>
        <v>0</v>
      </c>
      <c r="P973" s="81">
        <f>IF(Data!M973="CD",0,1)</f>
        <v>1</v>
      </c>
      <c r="Q973" s="81">
        <f>IF(Data!Q973&gt;Data!P973,DATEDIF(Data!P973,Data!Q973,"d"),0)</f>
        <v>0</v>
      </c>
      <c r="R973" s="81">
        <f>IF(Data!R973&gt;Data!Q973,DATEDIF(Data!Q973,Data!R973,"d"),0)</f>
        <v>0</v>
      </c>
    </row>
    <row r="974" spans="3:18" x14ac:dyDescent="0.2">
      <c r="C974" s="80">
        <f t="shared" ca="1" si="32"/>
        <v>45959</v>
      </c>
      <c r="D974" s="81">
        <f>IF(Data!I974&lt;&gt;"",DATEDIF(Data!I974,C974,"m"),0)</f>
        <v>0</v>
      </c>
      <c r="E974" s="82">
        <f t="shared" si="33"/>
        <v>0</v>
      </c>
      <c r="I974" s="81" t="str">
        <f>CONCATENATE(Data!M974,"-",Data!L974)</f>
        <v>-</v>
      </c>
      <c r="N974" s="81">
        <f>IF(Data!P974,DATEDIF(Data!O974,Data!P974,"d"),0)</f>
        <v>0</v>
      </c>
      <c r="O974" s="81">
        <f>IF(Data!M974="CD",1,0)</f>
        <v>0</v>
      </c>
      <c r="P974" s="81">
        <f>IF(Data!M974="CD",0,1)</f>
        <v>1</v>
      </c>
      <c r="Q974" s="81">
        <f>IF(Data!Q974&gt;Data!P974,DATEDIF(Data!P974,Data!Q974,"d"),0)</f>
        <v>0</v>
      </c>
      <c r="R974" s="81">
        <f>IF(Data!R974&gt;Data!Q974,DATEDIF(Data!Q974,Data!R974,"d"),0)</f>
        <v>0</v>
      </c>
    </row>
    <row r="975" spans="3:18" x14ac:dyDescent="0.2">
      <c r="C975" s="80">
        <f t="shared" ca="1" si="32"/>
        <v>45959</v>
      </c>
      <c r="D975" s="81">
        <f>IF(Data!I975&lt;&gt;"",DATEDIF(Data!I975,C975,"m"),0)</f>
        <v>0</v>
      </c>
      <c r="E975" s="82">
        <f t="shared" si="33"/>
        <v>0</v>
      </c>
      <c r="I975" s="81" t="str">
        <f>CONCATENATE(Data!M975,"-",Data!L975)</f>
        <v>-</v>
      </c>
      <c r="N975" s="81">
        <f>IF(Data!P975,DATEDIF(Data!O975,Data!P975,"d"),0)</f>
        <v>0</v>
      </c>
      <c r="O975" s="81">
        <f>IF(Data!M975="CD",1,0)</f>
        <v>0</v>
      </c>
      <c r="P975" s="81">
        <f>IF(Data!M975="CD",0,1)</f>
        <v>1</v>
      </c>
      <c r="Q975" s="81">
        <f>IF(Data!Q975&gt;Data!P975,DATEDIF(Data!P975,Data!Q975,"d"),0)</f>
        <v>0</v>
      </c>
      <c r="R975" s="81">
        <f>IF(Data!R975&gt;Data!Q975,DATEDIF(Data!Q975,Data!R975,"d"),0)</f>
        <v>0</v>
      </c>
    </row>
    <row r="976" spans="3:18" x14ac:dyDescent="0.2">
      <c r="C976" s="80">
        <f t="shared" ca="1" si="32"/>
        <v>45959</v>
      </c>
      <c r="D976" s="81">
        <f>IF(Data!I976&lt;&gt;"",DATEDIF(Data!I976,C976,"m"),0)</f>
        <v>0</v>
      </c>
      <c r="E976" s="82">
        <f t="shared" si="33"/>
        <v>0</v>
      </c>
      <c r="I976" s="81" t="str">
        <f>CONCATENATE(Data!M976,"-",Data!L976)</f>
        <v>-</v>
      </c>
      <c r="N976" s="81">
        <f>IF(Data!P976,DATEDIF(Data!O976,Data!P976,"d"),0)</f>
        <v>0</v>
      </c>
      <c r="O976" s="81">
        <f>IF(Data!M976="CD",1,0)</f>
        <v>0</v>
      </c>
      <c r="P976" s="81">
        <f>IF(Data!M976="CD",0,1)</f>
        <v>1</v>
      </c>
      <c r="Q976" s="81">
        <f>IF(Data!Q976&gt;Data!P976,DATEDIF(Data!P976,Data!Q976,"d"),0)</f>
        <v>0</v>
      </c>
      <c r="R976" s="81">
        <f>IF(Data!R976&gt;Data!Q976,DATEDIF(Data!Q976,Data!R976,"d"),0)</f>
        <v>0</v>
      </c>
    </row>
    <row r="977" spans="3:18" x14ac:dyDescent="0.2">
      <c r="C977" s="80">
        <f t="shared" ca="1" si="32"/>
        <v>45959</v>
      </c>
      <c r="D977" s="81">
        <f>IF(Data!I977&lt;&gt;"",DATEDIF(Data!I977,C977,"m"),0)</f>
        <v>0</v>
      </c>
      <c r="E977" s="82">
        <f t="shared" si="33"/>
        <v>0</v>
      </c>
      <c r="I977" s="81" t="str">
        <f>CONCATENATE(Data!M977,"-",Data!L977)</f>
        <v>-</v>
      </c>
      <c r="N977" s="81">
        <f>IF(Data!P977,DATEDIF(Data!O977,Data!P977,"d"),0)</f>
        <v>0</v>
      </c>
      <c r="O977" s="81">
        <f>IF(Data!M977="CD",1,0)</f>
        <v>0</v>
      </c>
      <c r="P977" s="81">
        <f>IF(Data!M977="CD",0,1)</f>
        <v>1</v>
      </c>
      <c r="Q977" s="81">
        <f>IF(Data!Q977&gt;Data!P977,DATEDIF(Data!P977,Data!Q977,"d"),0)</f>
        <v>0</v>
      </c>
      <c r="R977" s="81">
        <f>IF(Data!R977&gt;Data!Q977,DATEDIF(Data!Q977,Data!R977,"d"),0)</f>
        <v>0</v>
      </c>
    </row>
    <row r="978" spans="3:18" x14ac:dyDescent="0.2">
      <c r="C978" s="80">
        <f t="shared" ca="1" si="32"/>
        <v>45959</v>
      </c>
      <c r="D978" s="81">
        <f>IF(Data!I978&lt;&gt;"",DATEDIF(Data!I978,C978,"m"),0)</f>
        <v>0</v>
      </c>
      <c r="E978" s="82">
        <f t="shared" si="33"/>
        <v>0</v>
      </c>
      <c r="I978" s="81" t="str">
        <f>CONCATENATE(Data!M978,"-",Data!L978)</f>
        <v>-</v>
      </c>
      <c r="N978" s="81">
        <f>IF(Data!P978,DATEDIF(Data!O978,Data!P978,"d"),0)</f>
        <v>0</v>
      </c>
      <c r="O978" s="81">
        <f>IF(Data!M978="CD",1,0)</f>
        <v>0</v>
      </c>
      <c r="P978" s="81">
        <f>IF(Data!M978="CD",0,1)</f>
        <v>1</v>
      </c>
      <c r="Q978" s="81">
        <f>IF(Data!Q978&gt;Data!P978,DATEDIF(Data!P978,Data!Q978,"d"),0)</f>
        <v>0</v>
      </c>
      <c r="R978" s="81">
        <f>IF(Data!R978&gt;Data!Q978,DATEDIF(Data!Q978,Data!R978,"d"),0)</f>
        <v>0</v>
      </c>
    </row>
    <row r="979" spans="3:18" x14ac:dyDescent="0.2">
      <c r="C979" s="80">
        <f t="shared" ca="1" si="32"/>
        <v>45959</v>
      </c>
      <c r="D979" s="81">
        <f>IF(Data!I979&lt;&gt;"",DATEDIF(Data!I979,C979,"m"),0)</f>
        <v>0</v>
      </c>
      <c r="E979" s="82">
        <f t="shared" si="33"/>
        <v>0</v>
      </c>
      <c r="I979" s="81" t="str">
        <f>CONCATENATE(Data!M979,"-",Data!L979)</f>
        <v>-</v>
      </c>
      <c r="N979" s="81">
        <f>IF(Data!P979,DATEDIF(Data!O979,Data!P979,"d"),0)</f>
        <v>0</v>
      </c>
      <c r="O979" s="81">
        <f>IF(Data!M979="CD",1,0)</f>
        <v>0</v>
      </c>
      <c r="P979" s="81">
        <f>IF(Data!M979="CD",0,1)</f>
        <v>1</v>
      </c>
      <c r="Q979" s="81">
        <f>IF(Data!Q979&gt;Data!P979,DATEDIF(Data!P979,Data!Q979,"d"),0)</f>
        <v>0</v>
      </c>
      <c r="R979" s="81">
        <f>IF(Data!R979&gt;Data!Q979,DATEDIF(Data!Q979,Data!R979,"d"),0)</f>
        <v>0</v>
      </c>
    </row>
    <row r="980" spans="3:18" x14ac:dyDescent="0.2">
      <c r="C980" s="80">
        <f t="shared" ca="1" si="32"/>
        <v>45959</v>
      </c>
      <c r="D980" s="81">
        <f>IF(Data!I980&lt;&gt;"",DATEDIF(Data!I980,C980,"m"),0)</f>
        <v>0</v>
      </c>
      <c r="E980" s="82">
        <f t="shared" si="33"/>
        <v>0</v>
      </c>
      <c r="I980" s="81" t="str">
        <f>CONCATENATE(Data!M980,"-",Data!L980)</f>
        <v>-</v>
      </c>
      <c r="N980" s="81">
        <f>IF(Data!P980,DATEDIF(Data!O980,Data!P980,"d"),0)</f>
        <v>0</v>
      </c>
      <c r="O980" s="81">
        <f>IF(Data!M980="CD",1,0)</f>
        <v>0</v>
      </c>
      <c r="P980" s="81">
        <f>IF(Data!M980="CD",0,1)</f>
        <v>1</v>
      </c>
      <c r="Q980" s="81">
        <f>IF(Data!Q980&gt;Data!P980,DATEDIF(Data!P980,Data!Q980,"d"),0)</f>
        <v>0</v>
      </c>
      <c r="R980" s="81">
        <f>IF(Data!R980&gt;Data!Q980,DATEDIF(Data!Q980,Data!R980,"d"),0)</f>
        <v>0</v>
      </c>
    </row>
    <row r="981" spans="3:18" x14ac:dyDescent="0.2">
      <c r="C981" s="80">
        <f t="shared" ca="1" si="32"/>
        <v>45959</v>
      </c>
      <c r="D981" s="81">
        <f>IF(Data!I981&lt;&gt;"",DATEDIF(Data!I981,C981,"m"),0)</f>
        <v>0</v>
      </c>
      <c r="E981" s="82">
        <f t="shared" si="33"/>
        <v>0</v>
      </c>
      <c r="I981" s="81" t="str">
        <f>CONCATENATE(Data!M981,"-",Data!L981)</f>
        <v>-</v>
      </c>
      <c r="N981" s="81">
        <f>IF(Data!P981,DATEDIF(Data!O981,Data!P981,"d"),0)</f>
        <v>0</v>
      </c>
      <c r="O981" s="81">
        <f>IF(Data!M981="CD",1,0)</f>
        <v>0</v>
      </c>
      <c r="P981" s="81">
        <f>IF(Data!M981="CD",0,1)</f>
        <v>1</v>
      </c>
      <c r="Q981" s="81">
        <f>IF(Data!Q981&gt;Data!P981,DATEDIF(Data!P981,Data!Q981,"d"),0)</f>
        <v>0</v>
      </c>
      <c r="R981" s="81">
        <f>IF(Data!R981&gt;Data!Q981,DATEDIF(Data!Q981,Data!R981,"d"),0)</f>
        <v>0</v>
      </c>
    </row>
    <row r="982" spans="3:18" x14ac:dyDescent="0.2">
      <c r="C982" s="80">
        <f t="shared" ca="1" si="32"/>
        <v>45959</v>
      </c>
      <c r="D982" s="81">
        <f>IF(Data!I982&lt;&gt;"",DATEDIF(Data!I982,C982,"m"),0)</f>
        <v>0</v>
      </c>
      <c r="E982" s="82">
        <f t="shared" si="33"/>
        <v>0</v>
      </c>
      <c r="I982" s="81" t="str">
        <f>CONCATENATE(Data!M982,"-",Data!L982)</f>
        <v>-</v>
      </c>
      <c r="N982" s="81">
        <f>IF(Data!P982,DATEDIF(Data!O982,Data!P982,"d"),0)</f>
        <v>0</v>
      </c>
      <c r="O982" s="81">
        <f>IF(Data!M982="CD",1,0)</f>
        <v>0</v>
      </c>
      <c r="P982" s="81">
        <f>IF(Data!M982="CD",0,1)</f>
        <v>1</v>
      </c>
      <c r="Q982" s="81">
        <f>IF(Data!Q982&gt;Data!P982,DATEDIF(Data!P982,Data!Q982,"d"),0)</f>
        <v>0</v>
      </c>
      <c r="R982" s="81">
        <f>IF(Data!R982&gt;Data!Q982,DATEDIF(Data!Q982,Data!R982,"d"),0)</f>
        <v>0</v>
      </c>
    </row>
    <row r="983" spans="3:18" x14ac:dyDescent="0.2">
      <c r="C983" s="80">
        <f t="shared" ca="1" si="32"/>
        <v>45959</v>
      </c>
      <c r="D983" s="81">
        <f>IF(Data!I983&lt;&gt;"",DATEDIF(Data!I983,C983,"m"),0)</f>
        <v>0</v>
      </c>
      <c r="E983" s="82">
        <f t="shared" si="33"/>
        <v>0</v>
      </c>
      <c r="I983" s="81" t="str">
        <f>CONCATENATE(Data!M983,"-",Data!L983)</f>
        <v>-</v>
      </c>
      <c r="N983" s="81">
        <f>IF(Data!P983,DATEDIF(Data!O983,Data!P983,"d"),0)</f>
        <v>0</v>
      </c>
      <c r="O983" s="81">
        <f>IF(Data!M983="CD",1,0)</f>
        <v>0</v>
      </c>
      <c r="P983" s="81">
        <f>IF(Data!M983="CD",0,1)</f>
        <v>1</v>
      </c>
      <c r="Q983" s="81">
        <f>IF(Data!Q983&gt;Data!P983,DATEDIF(Data!P983,Data!Q983,"d"),0)</f>
        <v>0</v>
      </c>
      <c r="R983" s="81">
        <f>IF(Data!R983&gt;Data!Q983,DATEDIF(Data!Q983,Data!R983,"d"),0)</f>
        <v>0</v>
      </c>
    </row>
    <row r="984" spans="3:18" x14ac:dyDescent="0.2">
      <c r="C984" s="80">
        <f t="shared" ca="1" si="32"/>
        <v>45959</v>
      </c>
      <c r="D984" s="81">
        <f>IF(Data!I984&lt;&gt;"",DATEDIF(Data!I984,C984,"m"),0)</f>
        <v>0</v>
      </c>
      <c r="E984" s="82">
        <f t="shared" si="33"/>
        <v>0</v>
      </c>
      <c r="I984" s="81" t="str">
        <f>CONCATENATE(Data!M984,"-",Data!L984)</f>
        <v>-</v>
      </c>
      <c r="N984" s="81">
        <f>IF(Data!P984,DATEDIF(Data!O984,Data!P984,"d"),0)</f>
        <v>0</v>
      </c>
      <c r="O984" s="81">
        <f>IF(Data!M984="CD",1,0)</f>
        <v>0</v>
      </c>
      <c r="P984" s="81">
        <f>IF(Data!M984="CD",0,1)</f>
        <v>1</v>
      </c>
      <c r="Q984" s="81">
        <f>IF(Data!Q984&gt;Data!P984,DATEDIF(Data!P984,Data!Q984,"d"),0)</f>
        <v>0</v>
      </c>
      <c r="R984" s="81">
        <f>IF(Data!R984&gt;Data!Q984,DATEDIF(Data!Q984,Data!R984,"d"),0)</f>
        <v>0</v>
      </c>
    </row>
    <row r="985" spans="3:18" x14ac:dyDescent="0.2">
      <c r="C985" s="80">
        <f t="shared" ca="1" si="32"/>
        <v>45959</v>
      </c>
      <c r="D985" s="81">
        <f>IF(Data!I985&lt;&gt;"",DATEDIF(Data!I985,C985,"m"),0)</f>
        <v>0</v>
      </c>
      <c r="E985" s="82">
        <f t="shared" si="33"/>
        <v>0</v>
      </c>
      <c r="I985" s="81" t="str">
        <f>CONCATENATE(Data!M985,"-",Data!L985)</f>
        <v>-</v>
      </c>
      <c r="N985" s="81">
        <f>IF(Data!P985,DATEDIF(Data!O985,Data!P985,"d"),0)</f>
        <v>0</v>
      </c>
      <c r="O985" s="81">
        <f>IF(Data!M985="CD",1,0)</f>
        <v>0</v>
      </c>
      <c r="P985" s="81">
        <f>IF(Data!M985="CD",0,1)</f>
        <v>1</v>
      </c>
      <c r="Q985" s="81">
        <f>IF(Data!Q985&gt;Data!P985,DATEDIF(Data!P985,Data!Q985,"d"),0)</f>
        <v>0</v>
      </c>
      <c r="R985" s="81">
        <f>IF(Data!R985&gt;Data!Q985,DATEDIF(Data!Q985,Data!R985,"d"),0)</f>
        <v>0</v>
      </c>
    </row>
    <row r="986" spans="3:18" x14ac:dyDescent="0.2">
      <c r="C986" s="80">
        <f t="shared" ca="1" si="32"/>
        <v>45959</v>
      </c>
      <c r="D986" s="81">
        <f>IF(Data!I986&lt;&gt;"",DATEDIF(Data!I986,C986,"m"),0)</f>
        <v>0</v>
      </c>
      <c r="E986" s="82">
        <f t="shared" si="33"/>
        <v>0</v>
      </c>
      <c r="I986" s="81" t="str">
        <f>CONCATENATE(Data!M986,"-",Data!L986)</f>
        <v>-</v>
      </c>
      <c r="N986" s="81">
        <f>IF(Data!P986,DATEDIF(Data!O986,Data!P986,"d"),0)</f>
        <v>0</v>
      </c>
      <c r="O986" s="81">
        <f>IF(Data!M986="CD",1,0)</f>
        <v>0</v>
      </c>
      <c r="P986" s="81">
        <f>IF(Data!M986="CD",0,1)</f>
        <v>1</v>
      </c>
      <c r="Q986" s="81">
        <f>IF(Data!Q986&gt;Data!P986,DATEDIF(Data!P986,Data!Q986,"d"),0)</f>
        <v>0</v>
      </c>
      <c r="R986" s="81">
        <f>IF(Data!R986&gt;Data!Q986,DATEDIF(Data!Q986,Data!R986,"d"),0)</f>
        <v>0</v>
      </c>
    </row>
    <row r="987" spans="3:18" x14ac:dyDescent="0.2">
      <c r="C987" s="80">
        <f t="shared" ca="1" si="32"/>
        <v>45959</v>
      </c>
      <c r="D987" s="81">
        <f>IF(Data!I987&lt;&gt;"",DATEDIF(Data!I987,C987,"m"),0)</f>
        <v>0</v>
      </c>
      <c r="E987" s="82">
        <f t="shared" si="33"/>
        <v>0</v>
      </c>
      <c r="I987" s="81" t="str">
        <f>CONCATENATE(Data!M987,"-",Data!L987)</f>
        <v>-</v>
      </c>
      <c r="N987" s="81">
        <f>IF(Data!P987,DATEDIF(Data!O987,Data!P987,"d"),0)</f>
        <v>0</v>
      </c>
      <c r="O987" s="81">
        <f>IF(Data!M987="CD",1,0)</f>
        <v>0</v>
      </c>
      <c r="P987" s="81">
        <f>IF(Data!M987="CD",0,1)</f>
        <v>1</v>
      </c>
      <c r="Q987" s="81">
        <f>IF(Data!Q987&gt;Data!P987,DATEDIF(Data!P987,Data!Q987,"d"),0)</f>
        <v>0</v>
      </c>
      <c r="R987" s="81">
        <f>IF(Data!R987&gt;Data!Q987,DATEDIF(Data!Q987,Data!R987,"d"),0)</f>
        <v>0</v>
      </c>
    </row>
    <row r="988" spans="3:18" x14ac:dyDescent="0.2">
      <c r="C988" s="80">
        <f t="shared" ca="1" si="32"/>
        <v>45959</v>
      </c>
      <c r="D988" s="81">
        <f>IF(Data!I988&lt;&gt;"",DATEDIF(Data!I988,C988,"m"),0)</f>
        <v>0</v>
      </c>
      <c r="E988" s="82">
        <f t="shared" si="33"/>
        <v>0</v>
      </c>
      <c r="I988" s="81" t="str">
        <f>CONCATENATE(Data!M988,"-",Data!L988)</f>
        <v>-</v>
      </c>
      <c r="N988" s="81">
        <f>IF(Data!P988,DATEDIF(Data!O988,Data!P988,"d"),0)</f>
        <v>0</v>
      </c>
      <c r="O988" s="81">
        <f>IF(Data!M988="CD",1,0)</f>
        <v>0</v>
      </c>
      <c r="P988" s="81">
        <f>IF(Data!M988="CD",0,1)</f>
        <v>1</v>
      </c>
      <c r="Q988" s="81">
        <f>IF(Data!Q988&gt;Data!P988,DATEDIF(Data!P988,Data!Q988,"d"),0)</f>
        <v>0</v>
      </c>
      <c r="R988" s="81">
        <f>IF(Data!R988&gt;Data!Q988,DATEDIF(Data!Q988,Data!R988,"d"),0)</f>
        <v>0</v>
      </c>
    </row>
    <row r="989" spans="3:18" x14ac:dyDescent="0.2">
      <c r="C989" s="80">
        <f t="shared" ca="1" si="32"/>
        <v>45959</v>
      </c>
      <c r="D989" s="81">
        <f>IF(Data!I989&lt;&gt;"",DATEDIF(Data!I989,C989,"m"),0)</f>
        <v>0</v>
      </c>
      <c r="E989" s="82">
        <f t="shared" si="33"/>
        <v>0</v>
      </c>
      <c r="I989" s="81" t="str">
        <f>CONCATENATE(Data!M989,"-",Data!L989)</f>
        <v>-</v>
      </c>
      <c r="N989" s="81">
        <f>IF(Data!P989,DATEDIF(Data!O989,Data!P989,"d"),0)</f>
        <v>0</v>
      </c>
      <c r="O989" s="81">
        <f>IF(Data!M989="CD",1,0)</f>
        <v>0</v>
      </c>
      <c r="P989" s="81">
        <f>IF(Data!M989="CD",0,1)</f>
        <v>1</v>
      </c>
      <c r="Q989" s="81">
        <f>IF(Data!Q989&gt;Data!P989,DATEDIF(Data!P989,Data!Q989,"d"),0)</f>
        <v>0</v>
      </c>
      <c r="R989" s="81">
        <f>IF(Data!R989&gt;Data!Q989,DATEDIF(Data!Q989,Data!R989,"d"),0)</f>
        <v>0</v>
      </c>
    </row>
    <row r="990" spans="3:18" x14ac:dyDescent="0.2">
      <c r="C990" s="80">
        <f t="shared" ca="1" si="32"/>
        <v>45959</v>
      </c>
      <c r="D990" s="81">
        <f>IF(Data!I990&lt;&gt;"",DATEDIF(Data!I990,C990,"m"),0)</f>
        <v>0</v>
      </c>
      <c r="E990" s="82">
        <f t="shared" si="33"/>
        <v>0</v>
      </c>
      <c r="I990" s="81" t="str">
        <f>CONCATENATE(Data!M990,"-",Data!L990)</f>
        <v>-</v>
      </c>
      <c r="N990" s="81">
        <f>IF(Data!P990,DATEDIF(Data!O990,Data!P990,"d"),0)</f>
        <v>0</v>
      </c>
      <c r="O990" s="81">
        <f>IF(Data!M990="CD",1,0)</f>
        <v>0</v>
      </c>
      <c r="P990" s="81">
        <f>IF(Data!M990="CD",0,1)</f>
        <v>1</v>
      </c>
      <c r="Q990" s="81">
        <f>IF(Data!Q990&gt;Data!P990,DATEDIF(Data!P990,Data!Q990,"d"),0)</f>
        <v>0</v>
      </c>
      <c r="R990" s="81">
        <f>IF(Data!R990&gt;Data!Q990,DATEDIF(Data!Q990,Data!R990,"d"),0)</f>
        <v>0</v>
      </c>
    </row>
    <row r="991" spans="3:18" x14ac:dyDescent="0.2">
      <c r="C991" s="80">
        <f t="shared" ca="1" si="32"/>
        <v>45959</v>
      </c>
      <c r="D991" s="81">
        <f>IF(Data!I991&lt;&gt;"",DATEDIF(Data!I991,C991,"m"),0)</f>
        <v>0</v>
      </c>
      <c r="E991" s="82">
        <f t="shared" si="33"/>
        <v>0</v>
      </c>
      <c r="I991" s="81" t="str">
        <f>CONCATENATE(Data!M991,"-",Data!L991)</f>
        <v>-</v>
      </c>
      <c r="N991" s="81">
        <f>IF(Data!P991,DATEDIF(Data!O991,Data!P991,"d"),0)</f>
        <v>0</v>
      </c>
      <c r="O991" s="81">
        <f>IF(Data!M991="CD",1,0)</f>
        <v>0</v>
      </c>
      <c r="P991" s="81">
        <f>IF(Data!M991="CD",0,1)</f>
        <v>1</v>
      </c>
      <c r="Q991" s="81">
        <f>IF(Data!Q991&gt;Data!P991,DATEDIF(Data!P991,Data!Q991,"d"),0)</f>
        <v>0</v>
      </c>
      <c r="R991" s="81">
        <f>IF(Data!R991&gt;Data!Q991,DATEDIF(Data!Q991,Data!R991,"d"),0)</f>
        <v>0</v>
      </c>
    </row>
    <row r="992" spans="3:18" x14ac:dyDescent="0.2">
      <c r="C992" s="80">
        <f t="shared" ca="1" si="32"/>
        <v>45959</v>
      </c>
      <c r="D992" s="81">
        <f>IF(Data!I992&lt;&gt;"",DATEDIF(Data!I992,C992,"m"),0)</f>
        <v>0</v>
      </c>
      <c r="E992" s="82">
        <f t="shared" si="33"/>
        <v>0</v>
      </c>
      <c r="I992" s="81" t="str">
        <f>CONCATENATE(Data!M992,"-",Data!L992)</f>
        <v>-</v>
      </c>
      <c r="N992" s="81">
        <f>IF(Data!P992,DATEDIF(Data!O992,Data!P992,"d"),0)</f>
        <v>0</v>
      </c>
      <c r="O992" s="81">
        <f>IF(Data!M992="CD",1,0)</f>
        <v>0</v>
      </c>
      <c r="P992" s="81">
        <f>IF(Data!M992="CD",0,1)</f>
        <v>1</v>
      </c>
      <c r="Q992" s="81">
        <f>IF(Data!Q992&gt;Data!P992,DATEDIF(Data!P992,Data!Q992,"d"),0)</f>
        <v>0</v>
      </c>
      <c r="R992" s="81">
        <f>IF(Data!R992&gt;Data!Q992,DATEDIF(Data!Q992,Data!R992,"d"),0)</f>
        <v>0</v>
      </c>
    </row>
    <row r="993" spans="3:18" x14ac:dyDescent="0.2">
      <c r="C993" s="80">
        <f t="shared" ca="1" si="32"/>
        <v>45959</v>
      </c>
      <c r="D993" s="81">
        <f>IF(Data!I993&lt;&gt;"",DATEDIF(Data!I993,C993,"m"),0)</f>
        <v>0</v>
      </c>
      <c r="E993" s="82">
        <f t="shared" si="33"/>
        <v>0</v>
      </c>
      <c r="I993" s="81" t="str">
        <f>CONCATENATE(Data!M993,"-",Data!L993)</f>
        <v>-</v>
      </c>
      <c r="N993" s="81">
        <f>IF(Data!P993,DATEDIF(Data!O993,Data!P993,"d"),0)</f>
        <v>0</v>
      </c>
      <c r="O993" s="81">
        <f>IF(Data!M993="CD",1,0)</f>
        <v>0</v>
      </c>
      <c r="P993" s="81">
        <f>IF(Data!M993="CD",0,1)</f>
        <v>1</v>
      </c>
      <c r="Q993" s="81">
        <f>IF(Data!Q993&gt;Data!P993,DATEDIF(Data!P993,Data!Q993,"d"),0)</f>
        <v>0</v>
      </c>
      <c r="R993" s="81">
        <f>IF(Data!R993&gt;Data!Q993,DATEDIF(Data!Q993,Data!R993,"d"),0)</f>
        <v>0</v>
      </c>
    </row>
    <row r="994" spans="3:18" x14ac:dyDescent="0.2">
      <c r="C994" s="80">
        <f t="shared" ca="1" si="32"/>
        <v>45959</v>
      </c>
      <c r="D994" s="81">
        <f>IF(Data!I994&lt;&gt;"",DATEDIF(Data!I994,C994,"m"),0)</f>
        <v>0</v>
      </c>
      <c r="E994" s="82">
        <f t="shared" si="33"/>
        <v>0</v>
      </c>
      <c r="I994" s="81" t="str">
        <f>CONCATENATE(Data!M994,"-",Data!L994)</f>
        <v>-</v>
      </c>
      <c r="N994" s="81">
        <f>IF(Data!P994,DATEDIF(Data!O994,Data!P994,"d"),0)</f>
        <v>0</v>
      </c>
      <c r="O994" s="81">
        <f>IF(Data!M994="CD",1,0)</f>
        <v>0</v>
      </c>
      <c r="P994" s="81">
        <f>IF(Data!M994="CD",0,1)</f>
        <v>1</v>
      </c>
      <c r="Q994" s="81">
        <f>IF(Data!Q994&gt;Data!P994,DATEDIF(Data!P994,Data!Q994,"d"),0)</f>
        <v>0</v>
      </c>
      <c r="R994" s="81">
        <f>IF(Data!R994&gt;Data!Q994,DATEDIF(Data!Q994,Data!R994,"d"),0)</f>
        <v>0</v>
      </c>
    </row>
    <row r="995" spans="3:18" x14ac:dyDescent="0.2">
      <c r="C995" s="80">
        <f t="shared" ca="1" si="32"/>
        <v>45959</v>
      </c>
      <c r="D995" s="81">
        <f>IF(Data!I995&lt;&gt;"",DATEDIF(Data!I995,C995,"m"),0)</f>
        <v>0</v>
      </c>
      <c r="E995" s="82">
        <f t="shared" si="33"/>
        <v>0</v>
      </c>
      <c r="I995" s="81" t="str">
        <f>CONCATENATE(Data!M995,"-",Data!L995)</f>
        <v>-</v>
      </c>
      <c r="N995" s="81">
        <f>IF(Data!P995,DATEDIF(Data!O995,Data!P995,"d"),0)</f>
        <v>0</v>
      </c>
      <c r="O995" s="81">
        <f>IF(Data!M995="CD",1,0)</f>
        <v>0</v>
      </c>
      <c r="P995" s="81">
        <f>IF(Data!M995="CD",0,1)</f>
        <v>1</v>
      </c>
      <c r="Q995" s="81">
        <f>IF(Data!Q995&gt;Data!P995,DATEDIF(Data!P995,Data!Q995,"d"),0)</f>
        <v>0</v>
      </c>
      <c r="R995" s="81">
        <f>IF(Data!R995&gt;Data!Q995,DATEDIF(Data!Q995,Data!R995,"d"),0)</f>
        <v>0</v>
      </c>
    </row>
    <row r="996" spans="3:18" x14ac:dyDescent="0.2">
      <c r="C996" s="80">
        <f t="shared" ca="1" si="32"/>
        <v>45959</v>
      </c>
      <c r="D996" s="81">
        <f>IF(Data!I996&lt;&gt;"",DATEDIF(Data!I996,C996,"m"),0)</f>
        <v>0</v>
      </c>
      <c r="E996" s="82">
        <f t="shared" si="33"/>
        <v>0</v>
      </c>
      <c r="I996" s="81" t="str">
        <f>CONCATENATE(Data!M996,"-",Data!L996)</f>
        <v>-</v>
      </c>
      <c r="N996" s="81">
        <f>IF(Data!P996,DATEDIF(Data!O996,Data!P996,"d"),0)</f>
        <v>0</v>
      </c>
      <c r="O996" s="81">
        <f>IF(Data!M996="CD",1,0)</f>
        <v>0</v>
      </c>
      <c r="P996" s="81">
        <f>IF(Data!M996="CD",0,1)</f>
        <v>1</v>
      </c>
      <c r="Q996" s="81">
        <f>IF(Data!Q996&gt;Data!P996,DATEDIF(Data!P996,Data!Q996,"d"),0)</f>
        <v>0</v>
      </c>
      <c r="R996" s="81">
        <f>IF(Data!R996&gt;Data!Q996,DATEDIF(Data!Q996,Data!R996,"d"),0)</f>
        <v>0</v>
      </c>
    </row>
    <row r="997" spans="3:18" x14ac:dyDescent="0.2">
      <c r="C997" s="80">
        <f t="shared" ca="1" si="32"/>
        <v>45959</v>
      </c>
      <c r="D997" s="81">
        <f>IF(Data!I997&lt;&gt;"",DATEDIF(Data!I997,C997,"m"),0)</f>
        <v>0</v>
      </c>
      <c r="E997" s="82">
        <f t="shared" si="33"/>
        <v>0</v>
      </c>
      <c r="I997" s="81" t="str">
        <f>CONCATENATE(Data!M997,"-",Data!L997)</f>
        <v>-</v>
      </c>
      <c r="N997" s="81">
        <f>IF(Data!P997,DATEDIF(Data!O997,Data!P997,"d"),0)</f>
        <v>0</v>
      </c>
      <c r="O997" s="81">
        <f>IF(Data!M997="CD",1,0)</f>
        <v>0</v>
      </c>
      <c r="P997" s="81">
        <f>IF(Data!M997="CD",0,1)</f>
        <v>1</v>
      </c>
      <c r="Q997" s="81">
        <f>IF(Data!Q997&gt;Data!P997,DATEDIF(Data!P997,Data!Q997,"d"),0)</f>
        <v>0</v>
      </c>
      <c r="R997" s="81">
        <f>IF(Data!R997&gt;Data!Q997,DATEDIF(Data!Q997,Data!R997,"d"),0)</f>
        <v>0</v>
      </c>
    </row>
    <row r="998" spans="3:18" x14ac:dyDescent="0.2">
      <c r="C998" s="80">
        <f t="shared" ca="1" si="32"/>
        <v>45959</v>
      </c>
      <c r="D998" s="81">
        <f>IF(Data!I998&lt;&gt;"",DATEDIF(Data!I998,C998,"m"),0)</f>
        <v>0</v>
      </c>
      <c r="E998" s="82">
        <f t="shared" si="33"/>
        <v>0</v>
      </c>
      <c r="I998" s="81" t="str">
        <f>CONCATENATE(Data!M998,"-",Data!L998)</f>
        <v>-</v>
      </c>
      <c r="N998" s="81">
        <f>IF(Data!P998,DATEDIF(Data!O998,Data!P998,"d"),0)</f>
        <v>0</v>
      </c>
      <c r="O998" s="81">
        <f>IF(Data!M998="CD",1,0)</f>
        <v>0</v>
      </c>
      <c r="P998" s="81">
        <f>IF(Data!M998="CD",0,1)</f>
        <v>1</v>
      </c>
      <c r="Q998" s="81">
        <f>IF(Data!Q998&gt;Data!P998,DATEDIF(Data!P998,Data!Q998,"d"),0)</f>
        <v>0</v>
      </c>
      <c r="R998" s="81">
        <f>IF(Data!R998&gt;Data!Q998,DATEDIF(Data!Q998,Data!R998,"d"),0)</f>
        <v>0</v>
      </c>
    </row>
    <row r="999" spans="3:18" x14ac:dyDescent="0.2">
      <c r="C999" s="80">
        <f t="shared" ca="1" si="32"/>
        <v>45959</v>
      </c>
      <c r="D999" s="81">
        <f>IF(Data!I999&lt;&gt;"",DATEDIF(Data!I999,C999,"m"),0)</f>
        <v>0</v>
      </c>
      <c r="E999" s="82">
        <f t="shared" si="33"/>
        <v>0</v>
      </c>
      <c r="I999" s="81" t="str">
        <f>CONCATENATE(Data!M999,"-",Data!L999)</f>
        <v>-</v>
      </c>
      <c r="N999" s="81">
        <f>IF(Data!P999,DATEDIF(Data!O999,Data!P999,"d"),0)</f>
        <v>0</v>
      </c>
      <c r="O999" s="81">
        <f>IF(Data!M999="CD",1,0)</f>
        <v>0</v>
      </c>
      <c r="P999" s="81">
        <f>IF(Data!M999="CD",0,1)</f>
        <v>1</v>
      </c>
      <c r="Q999" s="81">
        <f>IF(Data!Q999&gt;Data!P999,DATEDIF(Data!P999,Data!Q999,"d"),0)</f>
        <v>0</v>
      </c>
      <c r="R999" s="81">
        <f>IF(Data!R999&gt;Data!Q999,DATEDIF(Data!Q999,Data!R999,"d"),0)</f>
        <v>0</v>
      </c>
    </row>
    <row r="1000" spans="3:18" x14ac:dyDescent="0.2">
      <c r="C1000" s="80">
        <f t="shared" ca="1" si="32"/>
        <v>45959</v>
      </c>
      <c r="D1000" s="81">
        <f>IF(Data!I1000&lt;&gt;"",DATEDIF(Data!I1000,C1000,"m"),0)</f>
        <v>0</v>
      </c>
      <c r="E1000" s="82">
        <f t="shared" si="33"/>
        <v>0</v>
      </c>
      <c r="I1000" s="81" t="str">
        <f>CONCATENATE(Data!M1000,"-",Data!L1000)</f>
        <v>-</v>
      </c>
      <c r="N1000" s="81">
        <f>IF(Data!P1000,DATEDIF(Data!O1000,Data!P1000,"d"),0)</f>
        <v>0</v>
      </c>
      <c r="O1000" s="81">
        <f>IF(Data!M1000="CD",1,0)</f>
        <v>0</v>
      </c>
      <c r="P1000" s="81">
        <f>IF(Data!M1000="CD",0,1)</f>
        <v>1</v>
      </c>
      <c r="Q1000" s="81">
        <f>IF(Data!Q1000&gt;Data!P1000,DATEDIF(Data!P1000,Data!Q1000,"d"),0)</f>
        <v>0</v>
      </c>
      <c r="R1000" s="81">
        <f>IF(Data!R1000&gt;Data!Q1000,DATEDIF(Data!Q1000,Data!R1000,"d"),0)</f>
        <v>0</v>
      </c>
    </row>
    <row r="1001" spans="3:18" x14ac:dyDescent="0.2">
      <c r="C1001" s="80">
        <f t="shared" ca="1" si="32"/>
        <v>45959</v>
      </c>
      <c r="D1001" s="81">
        <f>IF(Data!I1001&lt;&gt;"",DATEDIF(Data!I1001,C1001,"m"),0)</f>
        <v>0</v>
      </c>
      <c r="E1001" s="82">
        <f t="shared" si="33"/>
        <v>0</v>
      </c>
      <c r="I1001" s="81" t="str">
        <f>CONCATENATE(Data!M1001,"-",Data!L1001)</f>
        <v>-</v>
      </c>
      <c r="N1001" s="81">
        <f>IF(Data!P1001,DATEDIF(Data!O1001,Data!P1001,"d"),0)</f>
        <v>0</v>
      </c>
      <c r="O1001" s="81">
        <f>IF(Data!M1001="CD",1,0)</f>
        <v>0</v>
      </c>
      <c r="P1001" s="81">
        <f>IF(Data!M1001="CD",0,1)</f>
        <v>1</v>
      </c>
      <c r="Q1001" s="81">
        <f>IF(Data!Q1001&gt;Data!P1001,DATEDIF(Data!P1001,Data!Q1001,"d"),0)</f>
        <v>0</v>
      </c>
      <c r="R1001" s="81">
        <f>IF(Data!R1001&gt;Data!Q1001,DATEDIF(Data!Q1001,Data!R1001,"d"),0)</f>
        <v>0</v>
      </c>
    </row>
    <row r="1002" spans="3:18" x14ac:dyDescent="0.2">
      <c r="C1002" s="80">
        <f t="shared" ca="1" si="32"/>
        <v>45959</v>
      </c>
      <c r="D1002" s="81">
        <f>IF(Data!I1002&lt;&gt;"",DATEDIF(Data!I1002,C1002,"m"),0)</f>
        <v>0</v>
      </c>
      <c r="E1002" s="82">
        <f t="shared" si="33"/>
        <v>0</v>
      </c>
      <c r="I1002" s="81" t="str">
        <f>CONCATENATE(Data!M1002,"-",Data!L1002)</f>
        <v>-</v>
      </c>
      <c r="N1002" s="81">
        <f>IF(Data!P1002,DATEDIF(Data!O1002,Data!P1002,"d"),0)</f>
        <v>0</v>
      </c>
      <c r="O1002" s="81">
        <f>IF(Data!M1002="CD",1,0)</f>
        <v>0</v>
      </c>
      <c r="P1002" s="81">
        <f>IF(Data!M1002="CD",0,1)</f>
        <v>1</v>
      </c>
      <c r="Q1002" s="81">
        <f>IF(Data!Q1002&gt;Data!P1002,DATEDIF(Data!P1002,Data!Q1002,"d"),0)</f>
        <v>0</v>
      </c>
      <c r="R1002" s="81">
        <f>IF(Data!R1002&gt;Data!Q1002,DATEDIF(Data!Q1002,Data!R1002,"d"),0)</f>
        <v>0</v>
      </c>
    </row>
    <row r="1003" spans="3:18" x14ac:dyDescent="0.2">
      <c r="C1003" s="80">
        <f t="shared" ca="1" si="32"/>
        <v>45959</v>
      </c>
      <c r="D1003" s="81">
        <f>IF(Data!I1003&lt;&gt;"",DATEDIF(Data!I1003,C1003,"m"),0)</f>
        <v>0</v>
      </c>
      <c r="E1003" s="82">
        <f t="shared" si="33"/>
        <v>0</v>
      </c>
      <c r="I1003" s="81" t="str">
        <f>CONCATENATE(Data!M1003,"-",Data!L1003)</f>
        <v>-</v>
      </c>
      <c r="N1003" s="81">
        <f>IF(Data!P1003,DATEDIF(Data!O1003,Data!P1003,"d"),0)</f>
        <v>0</v>
      </c>
      <c r="O1003" s="81">
        <f>IF(Data!M1003="CD",1,0)</f>
        <v>0</v>
      </c>
      <c r="P1003" s="81">
        <f>IF(Data!M1003="CD",0,1)</f>
        <v>1</v>
      </c>
      <c r="Q1003" s="81">
        <f>IF(Data!Q1003&gt;Data!P1003,DATEDIF(Data!P1003,Data!Q1003,"d"),0)</f>
        <v>0</v>
      </c>
      <c r="R1003" s="81">
        <f>IF(Data!R1003&gt;Data!Q1003,DATEDIF(Data!Q1003,Data!R1003,"d"),0)</f>
        <v>0</v>
      </c>
    </row>
    <row r="1004" spans="3:18" x14ac:dyDescent="0.2">
      <c r="C1004" s="80">
        <f t="shared" ca="1" si="32"/>
        <v>45959</v>
      </c>
      <c r="D1004" s="81">
        <f>IF(Data!I1004&lt;&gt;"",DATEDIF(Data!I1004,C1004,"m"),0)</f>
        <v>0</v>
      </c>
      <c r="E1004" s="82">
        <f t="shared" si="33"/>
        <v>0</v>
      </c>
      <c r="I1004" s="81" t="str">
        <f>CONCATENATE(Data!M1004,"-",Data!L1004)</f>
        <v>-</v>
      </c>
      <c r="N1004" s="81">
        <f>IF(Data!P1004,DATEDIF(Data!O1004,Data!P1004,"d"),0)</f>
        <v>0</v>
      </c>
      <c r="O1004" s="81">
        <f>IF(Data!M1004="CD",1,0)</f>
        <v>0</v>
      </c>
      <c r="P1004" s="81">
        <f>IF(Data!M1004="CD",0,1)</f>
        <v>1</v>
      </c>
      <c r="Q1004" s="81">
        <f>IF(Data!Q1004&gt;Data!P1004,DATEDIF(Data!P1004,Data!Q1004,"d"),0)</f>
        <v>0</v>
      </c>
      <c r="R1004" s="81">
        <f>IF(Data!R1004&gt;Data!Q1004,DATEDIF(Data!Q1004,Data!R1004,"d"),0)</f>
        <v>0</v>
      </c>
    </row>
    <row r="1005" spans="3:18" x14ac:dyDescent="0.2">
      <c r="C1005" s="80">
        <f t="shared" ca="1" si="32"/>
        <v>45959</v>
      </c>
      <c r="D1005" s="81">
        <f>IF(Data!I1005&lt;&gt;"",DATEDIF(Data!I1005,C1005,"m"),0)</f>
        <v>0</v>
      </c>
      <c r="E1005" s="82">
        <f t="shared" si="33"/>
        <v>0</v>
      </c>
      <c r="I1005" s="81" t="str">
        <f>CONCATENATE(Data!M1005,"-",Data!L1005)</f>
        <v>-</v>
      </c>
      <c r="N1005" s="81">
        <f>IF(Data!P1005,DATEDIF(Data!O1005,Data!P1005,"d"),0)</f>
        <v>0</v>
      </c>
      <c r="O1005" s="81">
        <f>IF(Data!M1005="CD",1,0)</f>
        <v>0</v>
      </c>
      <c r="P1005" s="81">
        <f>IF(Data!M1005="CD",0,1)</f>
        <v>1</v>
      </c>
      <c r="Q1005" s="81">
        <f>IF(Data!Q1005&gt;Data!P1005,DATEDIF(Data!P1005,Data!Q1005,"d"),0)</f>
        <v>0</v>
      </c>
      <c r="R1005" s="81">
        <f>IF(Data!R1005&gt;Data!Q1005,DATEDIF(Data!Q1005,Data!R1005,"d"),0)</f>
        <v>0</v>
      </c>
    </row>
    <row r="1006" spans="3:18" x14ac:dyDescent="0.2">
      <c r="C1006" s="80">
        <f t="shared" ca="1" si="32"/>
        <v>45959</v>
      </c>
      <c r="D1006" s="81">
        <f>IF(Data!I1006&lt;&gt;"",DATEDIF(Data!I1006,C1006,"m"),0)</f>
        <v>0</v>
      </c>
      <c r="E1006" s="82">
        <f t="shared" si="33"/>
        <v>0</v>
      </c>
      <c r="I1006" s="81" t="str">
        <f>CONCATENATE(Data!M1006,"-",Data!L1006)</f>
        <v>-</v>
      </c>
      <c r="N1006" s="81">
        <f>IF(Data!P1006,DATEDIF(Data!O1006,Data!P1006,"d"),0)</f>
        <v>0</v>
      </c>
      <c r="O1006" s="81">
        <f>IF(Data!M1006="CD",1,0)</f>
        <v>0</v>
      </c>
      <c r="P1006" s="81">
        <f>IF(Data!M1006="CD",0,1)</f>
        <v>1</v>
      </c>
      <c r="Q1006" s="81">
        <f>IF(Data!Q1006&gt;Data!P1006,DATEDIF(Data!P1006,Data!Q1006,"d"),0)</f>
        <v>0</v>
      </c>
      <c r="R1006" s="81">
        <f>IF(Data!R1006&gt;Data!Q1006,DATEDIF(Data!Q1006,Data!R1006,"d"),0)</f>
        <v>0</v>
      </c>
    </row>
    <row r="1007" spans="3:18" x14ac:dyDescent="0.2">
      <c r="C1007" s="80">
        <f t="shared" ca="1" si="32"/>
        <v>45959</v>
      </c>
      <c r="D1007" s="81">
        <f>IF(Data!I1007&lt;&gt;"",DATEDIF(Data!I1007,C1007,"m"),0)</f>
        <v>0</v>
      </c>
      <c r="E1007" s="82">
        <f t="shared" si="33"/>
        <v>0</v>
      </c>
      <c r="I1007" s="81" t="str">
        <f>CONCATENATE(Data!M1007,"-",Data!L1007)</f>
        <v>-</v>
      </c>
      <c r="N1007" s="81">
        <f>IF(Data!P1007,DATEDIF(Data!O1007,Data!P1007,"d"),0)</f>
        <v>0</v>
      </c>
      <c r="O1007" s="81">
        <f>IF(Data!M1007="CD",1,0)</f>
        <v>0</v>
      </c>
      <c r="P1007" s="81">
        <f>IF(Data!M1007="CD",0,1)</f>
        <v>1</v>
      </c>
      <c r="Q1007" s="81">
        <f>IF(Data!Q1007&gt;Data!P1007,DATEDIF(Data!P1007,Data!Q1007,"d"),0)</f>
        <v>0</v>
      </c>
      <c r="R1007" s="81">
        <f>IF(Data!R1007&gt;Data!Q1007,DATEDIF(Data!Q1007,Data!R1007,"d"),0)</f>
        <v>0</v>
      </c>
    </row>
    <row r="1008" spans="3:18" x14ac:dyDescent="0.2">
      <c r="C1008" s="80">
        <f t="shared" ca="1" si="32"/>
        <v>45959</v>
      </c>
      <c r="D1008" s="81">
        <f>IF(Data!I1008&lt;&gt;"",DATEDIF(Data!I1008,C1008,"m"),0)</f>
        <v>0</v>
      </c>
      <c r="E1008" s="82">
        <f t="shared" si="33"/>
        <v>0</v>
      </c>
      <c r="I1008" s="81" t="str">
        <f>CONCATENATE(Data!M1008,"-",Data!L1008)</f>
        <v>-</v>
      </c>
      <c r="N1008" s="81">
        <f>IF(Data!P1008,DATEDIF(Data!O1008,Data!P1008,"d"),0)</f>
        <v>0</v>
      </c>
      <c r="O1008" s="81">
        <f>IF(Data!M1008="CD",1,0)</f>
        <v>0</v>
      </c>
      <c r="P1008" s="81">
        <f>IF(Data!M1008="CD",0,1)</f>
        <v>1</v>
      </c>
      <c r="Q1008" s="81">
        <f>IF(Data!Q1008&gt;Data!P1008,DATEDIF(Data!P1008,Data!Q1008,"d"),0)</f>
        <v>0</v>
      </c>
      <c r="R1008" s="81">
        <f>IF(Data!R1008&gt;Data!Q1008,DATEDIF(Data!Q1008,Data!R1008,"d"),0)</f>
        <v>0</v>
      </c>
    </row>
    <row r="1009" spans="3:18" x14ac:dyDescent="0.2">
      <c r="C1009" s="80">
        <f t="shared" ca="1" si="32"/>
        <v>45959</v>
      </c>
      <c r="D1009" s="81">
        <f>IF(Data!I1009&lt;&gt;"",DATEDIF(Data!I1009,C1009,"m"),0)</f>
        <v>0</v>
      </c>
      <c r="E1009" s="82">
        <f t="shared" si="33"/>
        <v>0</v>
      </c>
      <c r="I1009" s="81" t="str">
        <f>CONCATENATE(Data!M1009,"-",Data!L1009)</f>
        <v>-</v>
      </c>
      <c r="N1009" s="81">
        <f>IF(Data!P1009,DATEDIF(Data!O1009,Data!P1009,"d"),0)</f>
        <v>0</v>
      </c>
      <c r="O1009" s="81">
        <f>IF(Data!M1009="CD",1,0)</f>
        <v>0</v>
      </c>
      <c r="P1009" s="81">
        <f>IF(Data!M1009="CD",0,1)</f>
        <v>1</v>
      </c>
      <c r="Q1009" s="81">
        <f>IF(Data!Q1009&gt;Data!P1009,DATEDIF(Data!P1009,Data!Q1009,"d"),0)</f>
        <v>0</v>
      </c>
      <c r="R1009" s="81">
        <f>IF(Data!R1009&gt;Data!Q1009,DATEDIF(Data!Q1009,Data!R1009,"d"),0)</f>
        <v>0</v>
      </c>
    </row>
    <row r="1010" spans="3:18" x14ac:dyDescent="0.2">
      <c r="C1010" s="80">
        <f t="shared" ca="1" si="32"/>
        <v>45959</v>
      </c>
      <c r="D1010" s="81">
        <f>IF(Data!I1010&lt;&gt;"",DATEDIF(Data!I1010,C1010,"m"),0)</f>
        <v>0</v>
      </c>
      <c r="E1010" s="82">
        <f t="shared" si="33"/>
        <v>0</v>
      </c>
      <c r="I1010" s="81" t="str">
        <f>CONCATENATE(Data!M1010,"-",Data!L1010)</f>
        <v>-</v>
      </c>
      <c r="N1010" s="81">
        <f>IF(Data!P1010,DATEDIF(Data!O1010,Data!P1010,"d"),0)</f>
        <v>0</v>
      </c>
      <c r="O1010" s="81">
        <f>IF(Data!M1010="CD",1,0)</f>
        <v>0</v>
      </c>
      <c r="P1010" s="81">
        <f>IF(Data!M1010="CD",0,1)</f>
        <v>1</v>
      </c>
      <c r="Q1010" s="81">
        <f>IF(Data!Q1010&gt;Data!P1010,DATEDIF(Data!P1010,Data!Q1010,"d"),0)</f>
        <v>0</v>
      </c>
      <c r="R1010" s="81">
        <f>IF(Data!R1010&gt;Data!Q1010,DATEDIF(Data!Q1010,Data!R1010,"d"),0)</f>
        <v>0</v>
      </c>
    </row>
    <row r="1011" spans="3:18" x14ac:dyDescent="0.2">
      <c r="C1011" s="80">
        <f t="shared" ca="1" si="32"/>
        <v>45959</v>
      </c>
      <c r="D1011" s="81">
        <f>IF(Data!I1011&lt;&gt;"",DATEDIF(Data!I1011,C1011,"m"),0)</f>
        <v>0</v>
      </c>
      <c r="E1011" s="82">
        <f t="shared" si="33"/>
        <v>0</v>
      </c>
      <c r="I1011" s="81" t="str">
        <f>CONCATENATE(Data!M1011,"-",Data!L1011)</f>
        <v>-</v>
      </c>
      <c r="N1011" s="81">
        <f>IF(Data!P1011,DATEDIF(Data!O1011,Data!P1011,"d"),0)</f>
        <v>0</v>
      </c>
      <c r="O1011" s="81">
        <f>IF(Data!M1011="CD",1,0)</f>
        <v>0</v>
      </c>
      <c r="P1011" s="81">
        <f>IF(Data!M1011="CD",0,1)</f>
        <v>1</v>
      </c>
      <c r="Q1011" s="81">
        <f>IF(Data!Q1011&gt;Data!P1011,DATEDIF(Data!P1011,Data!Q1011,"d"),0)</f>
        <v>0</v>
      </c>
      <c r="R1011" s="81">
        <f>IF(Data!R1011&gt;Data!Q1011,DATEDIF(Data!Q1011,Data!R1011,"d"),0)</f>
        <v>0</v>
      </c>
    </row>
    <row r="1012" spans="3:18" x14ac:dyDescent="0.2">
      <c r="C1012" s="80">
        <f t="shared" ca="1" si="32"/>
        <v>45959</v>
      </c>
      <c r="D1012" s="81">
        <f>IF(Data!I1012&lt;&gt;"",DATEDIF(Data!I1012,C1012,"m"),0)</f>
        <v>0</v>
      </c>
      <c r="E1012" s="82">
        <f t="shared" si="33"/>
        <v>0</v>
      </c>
      <c r="I1012" s="81" t="str">
        <f>CONCATENATE(Data!M1012,"-",Data!L1012)</f>
        <v>-</v>
      </c>
      <c r="N1012" s="81">
        <f>IF(Data!P1012,DATEDIF(Data!O1012,Data!P1012,"d"),0)</f>
        <v>0</v>
      </c>
      <c r="O1012" s="81">
        <f>IF(Data!M1012="CD",1,0)</f>
        <v>0</v>
      </c>
      <c r="P1012" s="81">
        <f>IF(Data!M1012="CD",0,1)</f>
        <v>1</v>
      </c>
      <c r="Q1012" s="81">
        <f>IF(Data!Q1012&gt;Data!P1012,DATEDIF(Data!P1012,Data!Q1012,"d"),0)</f>
        <v>0</v>
      </c>
      <c r="R1012" s="81">
        <f>IF(Data!R1012&gt;Data!Q1012,DATEDIF(Data!Q1012,Data!R1012,"d"),0)</f>
        <v>0</v>
      </c>
    </row>
    <row r="1013" spans="3:18" x14ac:dyDescent="0.2">
      <c r="C1013" s="80">
        <f t="shared" ca="1" si="32"/>
        <v>45959</v>
      </c>
      <c r="D1013" s="81">
        <f>IF(Data!I1013&lt;&gt;"",DATEDIF(Data!I1013,C1013,"m"),0)</f>
        <v>0</v>
      </c>
      <c r="E1013" s="82">
        <f t="shared" si="33"/>
        <v>0</v>
      </c>
      <c r="I1013" s="81" t="str">
        <f>CONCATENATE(Data!M1013,"-",Data!L1013)</f>
        <v>-</v>
      </c>
      <c r="N1013" s="81">
        <f>IF(Data!P1013,DATEDIF(Data!O1013,Data!P1013,"d"),0)</f>
        <v>0</v>
      </c>
      <c r="O1013" s="81">
        <f>IF(Data!M1013="CD",1,0)</f>
        <v>0</v>
      </c>
      <c r="P1013" s="81">
        <f>IF(Data!M1013="CD",0,1)</f>
        <v>1</v>
      </c>
      <c r="Q1013" s="81">
        <f>IF(Data!Q1013&gt;Data!P1013,DATEDIF(Data!P1013,Data!Q1013,"d"),0)</f>
        <v>0</v>
      </c>
      <c r="R1013" s="81">
        <f>IF(Data!R1013&gt;Data!Q1013,DATEDIF(Data!Q1013,Data!R1013,"d"),0)</f>
        <v>0</v>
      </c>
    </row>
    <row r="1014" spans="3:18" x14ac:dyDescent="0.2">
      <c r="C1014" s="80">
        <f t="shared" ca="1" si="32"/>
        <v>45959</v>
      </c>
      <c r="D1014" s="81">
        <f>IF(Data!I1014&lt;&gt;"",DATEDIF(Data!I1014,C1014,"m"),0)</f>
        <v>0</v>
      </c>
      <c r="E1014" s="82">
        <f t="shared" si="33"/>
        <v>0</v>
      </c>
      <c r="I1014" s="81" t="str">
        <f>CONCATENATE(Data!M1014,"-",Data!L1014)</f>
        <v>-</v>
      </c>
      <c r="N1014" s="81">
        <f>IF(Data!P1014,DATEDIF(Data!O1014,Data!P1014,"d"),0)</f>
        <v>0</v>
      </c>
      <c r="O1014" s="81">
        <f>IF(Data!M1014="CD",1,0)</f>
        <v>0</v>
      </c>
      <c r="P1014" s="81">
        <f>IF(Data!M1014="CD",0,1)</f>
        <v>1</v>
      </c>
      <c r="Q1014" s="81">
        <f>IF(Data!Q1014&gt;Data!P1014,DATEDIF(Data!P1014,Data!Q1014,"d"),0)</f>
        <v>0</v>
      </c>
      <c r="R1014" s="81">
        <f>IF(Data!R1014&gt;Data!Q1014,DATEDIF(Data!Q1014,Data!R1014,"d"),0)</f>
        <v>0</v>
      </c>
    </row>
    <row r="1015" spans="3:18" x14ac:dyDescent="0.2">
      <c r="C1015" s="80">
        <f t="shared" ca="1" si="32"/>
        <v>45959</v>
      </c>
      <c r="D1015" s="81">
        <f>IF(Data!I1015&lt;&gt;"",DATEDIF(Data!I1015,C1015,"m"),0)</f>
        <v>0</v>
      </c>
      <c r="E1015" s="82">
        <f t="shared" si="33"/>
        <v>0</v>
      </c>
      <c r="I1015" s="81" t="str">
        <f>CONCATENATE(Data!M1015,"-",Data!L1015)</f>
        <v>-</v>
      </c>
      <c r="N1015" s="81">
        <f>IF(Data!P1015,DATEDIF(Data!O1015,Data!P1015,"d"),0)</f>
        <v>0</v>
      </c>
      <c r="O1015" s="81">
        <f>IF(Data!M1015="CD",1,0)</f>
        <v>0</v>
      </c>
      <c r="P1015" s="81">
        <f>IF(Data!M1015="CD",0,1)</f>
        <v>1</v>
      </c>
      <c r="Q1015" s="81">
        <f>IF(Data!Q1015&gt;Data!P1015,DATEDIF(Data!P1015,Data!Q1015,"d"),0)</f>
        <v>0</v>
      </c>
      <c r="R1015" s="81">
        <f>IF(Data!R1015&gt;Data!Q1015,DATEDIF(Data!Q1015,Data!R1015,"d"),0)</f>
        <v>0</v>
      </c>
    </row>
    <row r="1016" spans="3:18" x14ac:dyDescent="0.2">
      <c r="C1016" s="80">
        <f t="shared" ca="1" si="32"/>
        <v>45959</v>
      </c>
      <c r="D1016" s="81">
        <f>IF(Data!I1016&lt;&gt;"",DATEDIF(Data!I1016,C1016,"m"),0)</f>
        <v>0</v>
      </c>
      <c r="E1016" s="82">
        <f t="shared" si="33"/>
        <v>0</v>
      </c>
      <c r="I1016" s="81" t="str">
        <f>CONCATENATE(Data!M1016,"-",Data!L1016)</f>
        <v>-</v>
      </c>
      <c r="N1016" s="81">
        <f>IF(Data!P1016,DATEDIF(Data!O1016,Data!P1016,"d"),0)</f>
        <v>0</v>
      </c>
      <c r="O1016" s="81">
        <f>IF(Data!M1016="CD",1,0)</f>
        <v>0</v>
      </c>
      <c r="P1016" s="81">
        <f>IF(Data!M1016="CD",0,1)</f>
        <v>1</v>
      </c>
      <c r="Q1016" s="81">
        <f>IF(Data!Q1016&gt;Data!P1016,DATEDIF(Data!P1016,Data!Q1016,"d"),0)</f>
        <v>0</v>
      </c>
      <c r="R1016" s="81">
        <f>IF(Data!R1016&gt;Data!Q1016,DATEDIF(Data!Q1016,Data!R1016,"d"),0)</f>
        <v>0</v>
      </c>
    </row>
    <row r="1017" spans="3:18" x14ac:dyDescent="0.2">
      <c r="C1017" s="80">
        <f t="shared" ca="1" si="32"/>
        <v>45959</v>
      </c>
      <c r="D1017" s="81">
        <f>IF(Data!I1017&lt;&gt;"",DATEDIF(Data!I1017,C1017,"m"),0)</f>
        <v>0</v>
      </c>
      <c r="E1017" s="82">
        <f t="shared" si="33"/>
        <v>0</v>
      </c>
      <c r="I1017" s="81" t="str">
        <f>CONCATENATE(Data!M1017,"-",Data!L1017)</f>
        <v>-</v>
      </c>
      <c r="N1017" s="81">
        <f>IF(Data!P1017,DATEDIF(Data!O1017,Data!P1017,"d"),0)</f>
        <v>0</v>
      </c>
      <c r="O1017" s="81">
        <f>IF(Data!M1017="CD",1,0)</f>
        <v>0</v>
      </c>
      <c r="P1017" s="81">
        <f>IF(Data!M1017="CD",0,1)</f>
        <v>1</v>
      </c>
      <c r="Q1017" s="81">
        <f>IF(Data!Q1017&gt;Data!P1017,DATEDIF(Data!P1017,Data!Q1017,"d"),0)</f>
        <v>0</v>
      </c>
      <c r="R1017" s="81">
        <f>IF(Data!R1017&gt;Data!Q1017,DATEDIF(Data!Q1017,Data!R1017,"d"),0)</f>
        <v>0</v>
      </c>
    </row>
    <row r="1018" spans="3:18" x14ac:dyDescent="0.2">
      <c r="C1018" s="80">
        <f t="shared" ca="1" si="32"/>
        <v>45959</v>
      </c>
      <c r="D1018" s="81">
        <f>IF(Data!I1018&lt;&gt;"",DATEDIF(Data!I1018,C1018,"m"),0)</f>
        <v>0</v>
      </c>
      <c r="E1018" s="82">
        <f t="shared" si="33"/>
        <v>0</v>
      </c>
      <c r="I1018" s="81" t="str">
        <f>CONCATENATE(Data!M1018,"-",Data!L1018)</f>
        <v>-</v>
      </c>
      <c r="N1018" s="81">
        <f>IF(Data!P1018,DATEDIF(Data!O1018,Data!P1018,"d"),0)</f>
        <v>0</v>
      </c>
      <c r="O1018" s="81">
        <f>IF(Data!M1018="CD",1,0)</f>
        <v>0</v>
      </c>
      <c r="P1018" s="81">
        <f>IF(Data!M1018="CD",0,1)</f>
        <v>1</v>
      </c>
      <c r="Q1018" s="81">
        <f>IF(Data!Q1018&gt;Data!P1018,DATEDIF(Data!P1018,Data!Q1018,"d"),0)</f>
        <v>0</v>
      </c>
      <c r="R1018" s="81">
        <f>IF(Data!R1018&gt;Data!Q1018,DATEDIF(Data!Q1018,Data!R1018,"d"),0)</f>
        <v>0</v>
      </c>
    </row>
    <row r="1019" spans="3:18" x14ac:dyDescent="0.2">
      <c r="C1019" s="80">
        <f t="shared" ca="1" si="32"/>
        <v>45959</v>
      </c>
      <c r="D1019" s="81">
        <f>IF(Data!I1019&lt;&gt;"",DATEDIF(Data!I1019,C1019,"m"),0)</f>
        <v>0</v>
      </c>
      <c r="E1019" s="82">
        <f t="shared" si="33"/>
        <v>0</v>
      </c>
      <c r="I1019" s="81" t="str">
        <f>CONCATENATE(Data!M1019,"-",Data!L1019)</f>
        <v>-</v>
      </c>
      <c r="N1019" s="81">
        <f>IF(Data!P1019,DATEDIF(Data!O1019,Data!P1019,"d"),0)</f>
        <v>0</v>
      </c>
      <c r="O1019" s="81">
        <f>IF(Data!M1019="CD",1,0)</f>
        <v>0</v>
      </c>
      <c r="P1019" s="81">
        <f>IF(Data!M1019="CD",0,1)</f>
        <v>1</v>
      </c>
      <c r="Q1019" s="81">
        <f>IF(Data!Q1019&gt;Data!P1019,DATEDIF(Data!P1019,Data!Q1019,"d"),0)</f>
        <v>0</v>
      </c>
      <c r="R1019" s="81">
        <f>IF(Data!R1019&gt;Data!Q1019,DATEDIF(Data!Q1019,Data!R1019,"d"),0)</f>
        <v>0</v>
      </c>
    </row>
    <row r="1020" spans="3:18" x14ac:dyDescent="0.2">
      <c r="C1020" s="80">
        <f t="shared" ca="1" si="32"/>
        <v>45959</v>
      </c>
      <c r="D1020" s="81">
        <f>IF(Data!I1020&lt;&gt;"",DATEDIF(Data!I1020,C1020,"m"),0)</f>
        <v>0</v>
      </c>
      <c r="E1020" s="82">
        <f t="shared" si="33"/>
        <v>0</v>
      </c>
      <c r="I1020" s="81" t="str">
        <f>CONCATENATE(Data!M1020,"-",Data!L1020)</f>
        <v>-</v>
      </c>
      <c r="N1020" s="81">
        <f>IF(Data!P1020,DATEDIF(Data!O1020,Data!P1020,"d"),0)</f>
        <v>0</v>
      </c>
      <c r="O1020" s="81">
        <f>IF(Data!M1020="CD",1,0)</f>
        <v>0</v>
      </c>
      <c r="P1020" s="81">
        <f>IF(Data!M1020="CD",0,1)</f>
        <v>1</v>
      </c>
      <c r="Q1020" s="81">
        <f>IF(Data!Q1020&gt;Data!P1020,DATEDIF(Data!P1020,Data!Q1020,"d"),0)</f>
        <v>0</v>
      </c>
      <c r="R1020" s="81">
        <f>IF(Data!R1020&gt;Data!Q1020,DATEDIF(Data!Q1020,Data!R1020,"d"),0)</f>
        <v>0</v>
      </c>
    </row>
    <row r="1021" spans="3:18" x14ac:dyDescent="0.2">
      <c r="C1021" s="80">
        <f t="shared" ca="1" si="32"/>
        <v>45959</v>
      </c>
      <c r="D1021" s="81">
        <f>IF(Data!I1021&lt;&gt;"",DATEDIF(Data!I1021,C1021,"m"),0)</f>
        <v>0</v>
      </c>
      <c r="E1021" s="82">
        <f t="shared" si="33"/>
        <v>0</v>
      </c>
      <c r="I1021" s="81" t="str">
        <f>CONCATENATE(Data!M1021,"-",Data!L1021)</f>
        <v>-</v>
      </c>
      <c r="N1021" s="81">
        <f>IF(Data!P1021,DATEDIF(Data!O1021,Data!P1021,"d"),0)</f>
        <v>0</v>
      </c>
      <c r="O1021" s="81">
        <f>IF(Data!M1021="CD",1,0)</f>
        <v>0</v>
      </c>
      <c r="P1021" s="81">
        <f>IF(Data!M1021="CD",0,1)</f>
        <v>1</v>
      </c>
      <c r="Q1021" s="81">
        <f>IF(Data!Q1021&gt;Data!P1021,DATEDIF(Data!P1021,Data!Q1021,"d"),0)</f>
        <v>0</v>
      </c>
      <c r="R1021" s="81">
        <f>IF(Data!R1021&gt;Data!Q1021,DATEDIF(Data!Q1021,Data!R1021,"d"),0)</f>
        <v>0</v>
      </c>
    </row>
    <row r="1022" spans="3:18" x14ac:dyDescent="0.2">
      <c r="C1022" s="80">
        <f t="shared" ca="1" si="32"/>
        <v>45959</v>
      </c>
      <c r="D1022" s="81">
        <f>IF(Data!I1022&lt;&gt;"",DATEDIF(Data!I1022,C1022,"m"),0)</f>
        <v>0</v>
      </c>
      <c r="E1022" s="82">
        <f t="shared" si="33"/>
        <v>0</v>
      </c>
      <c r="I1022" s="81" t="str">
        <f>CONCATENATE(Data!M1022,"-",Data!L1022)</f>
        <v>-</v>
      </c>
      <c r="N1022" s="81">
        <f>IF(Data!P1022,DATEDIF(Data!O1022,Data!P1022,"d"),0)</f>
        <v>0</v>
      </c>
      <c r="O1022" s="81">
        <f>IF(Data!M1022="CD",1,0)</f>
        <v>0</v>
      </c>
      <c r="P1022" s="81">
        <f>IF(Data!M1022="CD",0,1)</f>
        <v>1</v>
      </c>
      <c r="Q1022" s="81">
        <f>IF(Data!Q1022&gt;Data!P1022,DATEDIF(Data!P1022,Data!Q1022,"d"),0)</f>
        <v>0</v>
      </c>
      <c r="R1022" s="81">
        <f>IF(Data!R1022&gt;Data!Q1022,DATEDIF(Data!Q1022,Data!R1022,"d"),0)</f>
        <v>0</v>
      </c>
    </row>
    <row r="1023" spans="3:18" x14ac:dyDescent="0.2">
      <c r="C1023" s="80">
        <f t="shared" ca="1" si="32"/>
        <v>45959</v>
      </c>
      <c r="D1023" s="81">
        <f>IF(Data!I1023&lt;&gt;"",DATEDIF(Data!I1023,C1023,"m"),0)</f>
        <v>0</v>
      </c>
      <c r="E1023" s="82">
        <f t="shared" si="33"/>
        <v>0</v>
      </c>
      <c r="I1023" s="81" t="str">
        <f>CONCATENATE(Data!M1023,"-",Data!L1023)</f>
        <v>-</v>
      </c>
      <c r="N1023" s="81">
        <f>IF(Data!P1023,DATEDIF(Data!O1023,Data!P1023,"d"),0)</f>
        <v>0</v>
      </c>
      <c r="O1023" s="81">
        <f>IF(Data!M1023="CD",1,0)</f>
        <v>0</v>
      </c>
      <c r="P1023" s="81">
        <f>IF(Data!M1023="CD",0,1)</f>
        <v>1</v>
      </c>
      <c r="Q1023" s="81">
        <f>IF(Data!Q1023&gt;Data!P1023,DATEDIF(Data!P1023,Data!Q1023,"d"),0)</f>
        <v>0</v>
      </c>
      <c r="R1023" s="81">
        <f>IF(Data!R1023&gt;Data!Q1023,DATEDIF(Data!Q1023,Data!R1023,"d"),0)</f>
        <v>0</v>
      </c>
    </row>
    <row r="1024" spans="3:18" x14ac:dyDescent="0.2">
      <c r="C1024" s="80">
        <f t="shared" ca="1" si="32"/>
        <v>45959</v>
      </c>
      <c r="D1024" s="81">
        <f>IF(Data!I1024&lt;&gt;"",DATEDIF(Data!I1024,C1024,"m"),0)</f>
        <v>0</v>
      </c>
      <c r="E1024" s="82">
        <f t="shared" si="33"/>
        <v>0</v>
      </c>
      <c r="I1024" s="81" t="str">
        <f>CONCATENATE(Data!M1024,"-",Data!L1024)</f>
        <v>-</v>
      </c>
      <c r="N1024" s="81">
        <f>IF(Data!P1024,DATEDIF(Data!O1024,Data!P1024,"d"),0)</f>
        <v>0</v>
      </c>
      <c r="O1024" s="81">
        <f>IF(Data!M1024="CD",1,0)</f>
        <v>0</v>
      </c>
      <c r="P1024" s="81">
        <f>IF(Data!M1024="CD",0,1)</f>
        <v>1</v>
      </c>
      <c r="Q1024" s="81">
        <f>IF(Data!Q1024&gt;Data!P1024,DATEDIF(Data!P1024,Data!Q1024,"d"),0)</f>
        <v>0</v>
      </c>
      <c r="R1024" s="81">
        <f>IF(Data!R1024&gt;Data!Q1024,DATEDIF(Data!Q1024,Data!R1024,"d"),0)</f>
        <v>0</v>
      </c>
    </row>
    <row r="1025" spans="3:18" x14ac:dyDescent="0.2">
      <c r="C1025" s="80">
        <f t="shared" ca="1" si="32"/>
        <v>45959</v>
      </c>
      <c r="D1025" s="81">
        <f>IF(Data!I1025&lt;&gt;"",DATEDIF(Data!I1025,C1025,"m"),0)</f>
        <v>0</v>
      </c>
      <c r="E1025" s="82">
        <f t="shared" si="33"/>
        <v>0</v>
      </c>
      <c r="I1025" s="81" t="str">
        <f>CONCATENATE(Data!M1025,"-",Data!L1025)</f>
        <v>-</v>
      </c>
      <c r="N1025" s="81">
        <f>IF(Data!P1025,DATEDIF(Data!O1025,Data!P1025,"d"),0)</f>
        <v>0</v>
      </c>
      <c r="O1025" s="81">
        <f>IF(Data!M1025="CD",1,0)</f>
        <v>0</v>
      </c>
      <c r="P1025" s="81">
        <f>IF(Data!M1025="CD",0,1)</f>
        <v>1</v>
      </c>
      <c r="Q1025" s="81">
        <f>IF(Data!Q1025&gt;Data!P1025,DATEDIF(Data!P1025,Data!Q1025,"d"),0)</f>
        <v>0</v>
      </c>
      <c r="R1025" s="81">
        <f>IF(Data!R1025&gt;Data!Q1025,DATEDIF(Data!Q1025,Data!R1025,"d"),0)</f>
        <v>0</v>
      </c>
    </row>
    <row r="1026" spans="3:18" x14ac:dyDescent="0.2">
      <c r="C1026" s="80">
        <f t="shared" ref="C1026:C1089" ca="1" si="34">TODAY()</f>
        <v>45959</v>
      </c>
      <c r="D1026" s="81">
        <f>IF(Data!I1026&lt;&gt;"",DATEDIF(Data!I1026,C1026,"m"),0)</f>
        <v>0</v>
      </c>
      <c r="E1026" s="82">
        <f t="shared" si="33"/>
        <v>0</v>
      </c>
      <c r="I1026" s="81" t="str">
        <f>CONCATENATE(Data!M1026,"-",Data!L1026)</f>
        <v>-</v>
      </c>
      <c r="N1026" s="81">
        <f>IF(Data!P1026,DATEDIF(Data!O1026,Data!P1026,"d"),0)</f>
        <v>0</v>
      </c>
      <c r="O1026" s="81">
        <f>IF(Data!M1026="CD",1,0)</f>
        <v>0</v>
      </c>
      <c r="P1026" s="81">
        <f>IF(Data!M1026="CD",0,1)</f>
        <v>1</v>
      </c>
      <c r="Q1026" s="81">
        <f>IF(Data!Q1026&gt;Data!P1026,DATEDIF(Data!P1026,Data!Q1026,"d"),0)</f>
        <v>0</v>
      </c>
      <c r="R1026" s="81">
        <f>IF(Data!R1026&gt;Data!Q1026,DATEDIF(Data!Q1026,Data!R1026,"d"),0)</f>
        <v>0</v>
      </c>
    </row>
    <row r="1027" spans="3:18" x14ac:dyDescent="0.2">
      <c r="C1027" s="80">
        <f t="shared" ca="1" si="34"/>
        <v>45959</v>
      </c>
      <c r="D1027" s="81">
        <f>IF(Data!I1027&lt;&gt;"",DATEDIF(Data!I1027,C1027,"m"),0)</f>
        <v>0</v>
      </c>
      <c r="E1027" s="82">
        <f t="shared" ref="E1027:E1090" si="35">D1027/12</f>
        <v>0</v>
      </c>
      <c r="I1027" s="81" t="str">
        <f>CONCATENATE(Data!M1027,"-",Data!L1027)</f>
        <v>-</v>
      </c>
      <c r="N1027" s="81">
        <f>IF(Data!P1027,DATEDIF(Data!O1027,Data!P1027,"d"),0)</f>
        <v>0</v>
      </c>
      <c r="O1027" s="81">
        <f>IF(Data!M1027="CD",1,0)</f>
        <v>0</v>
      </c>
      <c r="P1027" s="81">
        <f>IF(Data!M1027="CD",0,1)</f>
        <v>1</v>
      </c>
      <c r="Q1027" s="81">
        <f>IF(Data!Q1027&gt;Data!P1027,DATEDIF(Data!P1027,Data!Q1027,"d"),0)</f>
        <v>0</v>
      </c>
      <c r="R1027" s="81">
        <f>IF(Data!R1027&gt;Data!Q1027,DATEDIF(Data!Q1027,Data!R1027,"d"),0)</f>
        <v>0</v>
      </c>
    </row>
    <row r="1028" spans="3:18" x14ac:dyDescent="0.2">
      <c r="C1028" s="80">
        <f t="shared" ca="1" si="34"/>
        <v>45959</v>
      </c>
      <c r="D1028" s="81">
        <f>IF(Data!I1028&lt;&gt;"",DATEDIF(Data!I1028,C1028,"m"),0)</f>
        <v>0</v>
      </c>
      <c r="E1028" s="82">
        <f t="shared" si="35"/>
        <v>0</v>
      </c>
      <c r="I1028" s="81" t="str">
        <f>CONCATENATE(Data!M1028,"-",Data!L1028)</f>
        <v>-</v>
      </c>
      <c r="N1028" s="81">
        <f>IF(Data!P1028,DATEDIF(Data!O1028,Data!P1028,"d"),0)</f>
        <v>0</v>
      </c>
      <c r="O1028" s="81">
        <f>IF(Data!M1028="CD",1,0)</f>
        <v>0</v>
      </c>
      <c r="P1028" s="81">
        <f>IF(Data!M1028="CD",0,1)</f>
        <v>1</v>
      </c>
      <c r="Q1028" s="81">
        <f>IF(Data!Q1028&gt;Data!P1028,DATEDIF(Data!P1028,Data!Q1028,"d"),0)</f>
        <v>0</v>
      </c>
      <c r="R1028" s="81">
        <f>IF(Data!R1028&gt;Data!Q1028,DATEDIF(Data!Q1028,Data!R1028,"d"),0)</f>
        <v>0</v>
      </c>
    </row>
    <row r="1029" spans="3:18" x14ac:dyDescent="0.2">
      <c r="C1029" s="80">
        <f t="shared" ca="1" si="34"/>
        <v>45959</v>
      </c>
      <c r="D1029" s="81">
        <f>IF(Data!I1029&lt;&gt;"",DATEDIF(Data!I1029,C1029,"m"),0)</f>
        <v>0</v>
      </c>
      <c r="E1029" s="82">
        <f t="shared" si="35"/>
        <v>0</v>
      </c>
      <c r="I1029" s="81" t="str">
        <f>CONCATENATE(Data!M1029,"-",Data!L1029)</f>
        <v>-</v>
      </c>
      <c r="N1029" s="81">
        <f>IF(Data!P1029,DATEDIF(Data!O1029,Data!P1029,"d"),0)</f>
        <v>0</v>
      </c>
      <c r="O1029" s="81">
        <f>IF(Data!M1029="CD",1,0)</f>
        <v>0</v>
      </c>
      <c r="P1029" s="81">
        <f>IF(Data!M1029="CD",0,1)</f>
        <v>1</v>
      </c>
      <c r="Q1029" s="81">
        <f>IF(Data!Q1029&gt;Data!P1029,DATEDIF(Data!P1029,Data!Q1029,"d"),0)</f>
        <v>0</v>
      </c>
      <c r="R1029" s="81">
        <f>IF(Data!R1029&gt;Data!Q1029,DATEDIF(Data!Q1029,Data!R1029,"d"),0)</f>
        <v>0</v>
      </c>
    </row>
    <row r="1030" spans="3:18" x14ac:dyDescent="0.2">
      <c r="C1030" s="80">
        <f t="shared" ca="1" si="34"/>
        <v>45959</v>
      </c>
      <c r="D1030" s="81">
        <f>IF(Data!I1030&lt;&gt;"",DATEDIF(Data!I1030,C1030,"m"),0)</f>
        <v>0</v>
      </c>
      <c r="E1030" s="82">
        <f t="shared" si="35"/>
        <v>0</v>
      </c>
      <c r="I1030" s="81" t="str">
        <f>CONCATENATE(Data!M1030,"-",Data!L1030)</f>
        <v>-</v>
      </c>
      <c r="N1030" s="81">
        <f>IF(Data!P1030,DATEDIF(Data!O1030,Data!P1030,"d"),0)</f>
        <v>0</v>
      </c>
      <c r="O1030" s="81">
        <f>IF(Data!M1030="CD",1,0)</f>
        <v>0</v>
      </c>
      <c r="P1030" s="81">
        <f>IF(Data!M1030="CD",0,1)</f>
        <v>1</v>
      </c>
      <c r="Q1030" s="81">
        <f>IF(Data!Q1030&gt;Data!P1030,DATEDIF(Data!P1030,Data!Q1030,"d"),0)</f>
        <v>0</v>
      </c>
      <c r="R1030" s="81">
        <f>IF(Data!R1030&gt;Data!Q1030,DATEDIF(Data!Q1030,Data!R1030,"d"),0)</f>
        <v>0</v>
      </c>
    </row>
    <row r="1031" spans="3:18" x14ac:dyDescent="0.2">
      <c r="C1031" s="80">
        <f t="shared" ca="1" si="34"/>
        <v>45959</v>
      </c>
      <c r="D1031" s="81">
        <f>IF(Data!I1031&lt;&gt;"",DATEDIF(Data!I1031,C1031,"m"),0)</f>
        <v>0</v>
      </c>
      <c r="E1031" s="82">
        <f t="shared" si="35"/>
        <v>0</v>
      </c>
      <c r="I1031" s="81" t="str">
        <f>CONCATENATE(Data!M1031,"-",Data!L1031)</f>
        <v>-</v>
      </c>
      <c r="N1031" s="81">
        <f>IF(Data!P1031,DATEDIF(Data!O1031,Data!P1031,"d"),0)</f>
        <v>0</v>
      </c>
      <c r="O1031" s="81">
        <f>IF(Data!M1031="CD",1,0)</f>
        <v>0</v>
      </c>
      <c r="P1031" s="81">
        <f>IF(Data!M1031="CD",0,1)</f>
        <v>1</v>
      </c>
      <c r="Q1031" s="81">
        <f>IF(Data!Q1031&gt;Data!P1031,DATEDIF(Data!P1031,Data!Q1031,"d"),0)</f>
        <v>0</v>
      </c>
      <c r="R1031" s="81">
        <f>IF(Data!R1031&gt;Data!Q1031,DATEDIF(Data!Q1031,Data!R1031,"d"),0)</f>
        <v>0</v>
      </c>
    </row>
    <row r="1032" spans="3:18" x14ac:dyDescent="0.2">
      <c r="C1032" s="80">
        <f t="shared" ca="1" si="34"/>
        <v>45959</v>
      </c>
      <c r="D1032" s="81">
        <f>IF(Data!I1032&lt;&gt;"",DATEDIF(Data!I1032,C1032,"m"),0)</f>
        <v>0</v>
      </c>
      <c r="E1032" s="82">
        <f t="shared" si="35"/>
        <v>0</v>
      </c>
      <c r="I1032" s="81" t="str">
        <f>CONCATENATE(Data!M1032,"-",Data!L1032)</f>
        <v>-</v>
      </c>
      <c r="N1032" s="81">
        <f>IF(Data!P1032,DATEDIF(Data!O1032,Data!P1032,"d"),0)</f>
        <v>0</v>
      </c>
      <c r="O1032" s="81">
        <f>IF(Data!M1032="CD",1,0)</f>
        <v>0</v>
      </c>
      <c r="P1032" s="81">
        <f>IF(Data!M1032="CD",0,1)</f>
        <v>1</v>
      </c>
      <c r="Q1032" s="81">
        <f>IF(Data!Q1032&gt;Data!P1032,DATEDIF(Data!P1032,Data!Q1032,"d"),0)</f>
        <v>0</v>
      </c>
      <c r="R1032" s="81">
        <f>IF(Data!R1032&gt;Data!Q1032,DATEDIF(Data!Q1032,Data!R1032,"d"),0)</f>
        <v>0</v>
      </c>
    </row>
    <row r="1033" spans="3:18" x14ac:dyDescent="0.2">
      <c r="C1033" s="80">
        <f t="shared" ca="1" si="34"/>
        <v>45959</v>
      </c>
      <c r="D1033" s="81">
        <f>IF(Data!I1033&lt;&gt;"",DATEDIF(Data!I1033,C1033,"m"),0)</f>
        <v>0</v>
      </c>
      <c r="E1033" s="82">
        <f t="shared" si="35"/>
        <v>0</v>
      </c>
      <c r="I1033" s="81" t="str">
        <f>CONCATENATE(Data!M1033,"-",Data!L1033)</f>
        <v>-</v>
      </c>
      <c r="N1033" s="81">
        <f>IF(Data!P1033,DATEDIF(Data!O1033,Data!P1033,"d"),0)</f>
        <v>0</v>
      </c>
      <c r="O1033" s="81">
        <f>IF(Data!M1033="CD",1,0)</f>
        <v>0</v>
      </c>
      <c r="P1033" s="81">
        <f>IF(Data!M1033="CD",0,1)</f>
        <v>1</v>
      </c>
      <c r="Q1033" s="81">
        <f>IF(Data!Q1033&gt;Data!P1033,DATEDIF(Data!P1033,Data!Q1033,"d"),0)</f>
        <v>0</v>
      </c>
      <c r="R1033" s="81">
        <f>IF(Data!R1033&gt;Data!Q1033,DATEDIF(Data!Q1033,Data!R1033,"d"),0)</f>
        <v>0</v>
      </c>
    </row>
    <row r="1034" spans="3:18" x14ac:dyDescent="0.2">
      <c r="C1034" s="80">
        <f t="shared" ca="1" si="34"/>
        <v>45959</v>
      </c>
      <c r="D1034" s="81">
        <f>IF(Data!I1034&lt;&gt;"",DATEDIF(Data!I1034,C1034,"m"),0)</f>
        <v>0</v>
      </c>
      <c r="E1034" s="82">
        <f t="shared" si="35"/>
        <v>0</v>
      </c>
      <c r="I1034" s="81" t="str">
        <f>CONCATENATE(Data!M1034,"-",Data!L1034)</f>
        <v>-</v>
      </c>
      <c r="N1034" s="81">
        <f>IF(Data!P1034,DATEDIF(Data!O1034,Data!P1034,"d"),0)</f>
        <v>0</v>
      </c>
      <c r="O1034" s="81">
        <f>IF(Data!M1034="CD",1,0)</f>
        <v>0</v>
      </c>
      <c r="P1034" s="81">
        <f>IF(Data!M1034="CD",0,1)</f>
        <v>1</v>
      </c>
      <c r="Q1034" s="81">
        <f>IF(Data!Q1034&gt;Data!P1034,DATEDIF(Data!P1034,Data!Q1034,"d"),0)</f>
        <v>0</v>
      </c>
      <c r="R1034" s="81">
        <f>IF(Data!R1034&gt;Data!Q1034,DATEDIF(Data!Q1034,Data!R1034,"d"),0)</f>
        <v>0</v>
      </c>
    </row>
    <row r="1035" spans="3:18" x14ac:dyDescent="0.2">
      <c r="C1035" s="80">
        <f t="shared" ca="1" si="34"/>
        <v>45959</v>
      </c>
      <c r="D1035" s="81">
        <f>IF(Data!I1035&lt;&gt;"",DATEDIF(Data!I1035,C1035,"m"),0)</f>
        <v>0</v>
      </c>
      <c r="E1035" s="82">
        <f t="shared" si="35"/>
        <v>0</v>
      </c>
      <c r="I1035" s="81" t="str">
        <f>CONCATENATE(Data!M1035,"-",Data!L1035)</f>
        <v>-</v>
      </c>
      <c r="N1035" s="81">
        <f>IF(Data!P1035,DATEDIF(Data!O1035,Data!P1035,"d"),0)</f>
        <v>0</v>
      </c>
      <c r="O1035" s="81">
        <f>IF(Data!M1035="CD",1,0)</f>
        <v>0</v>
      </c>
      <c r="P1035" s="81">
        <f>IF(Data!M1035="CD",0,1)</f>
        <v>1</v>
      </c>
      <c r="Q1035" s="81">
        <f>IF(Data!Q1035&gt;Data!P1035,DATEDIF(Data!P1035,Data!Q1035,"d"),0)</f>
        <v>0</v>
      </c>
      <c r="R1035" s="81">
        <f>IF(Data!R1035&gt;Data!Q1035,DATEDIF(Data!Q1035,Data!R1035,"d"),0)</f>
        <v>0</v>
      </c>
    </row>
    <row r="1036" spans="3:18" x14ac:dyDescent="0.2">
      <c r="C1036" s="80">
        <f t="shared" ca="1" si="34"/>
        <v>45959</v>
      </c>
      <c r="D1036" s="81">
        <f>IF(Data!I1036&lt;&gt;"",DATEDIF(Data!I1036,C1036,"m"),0)</f>
        <v>0</v>
      </c>
      <c r="E1036" s="82">
        <f t="shared" si="35"/>
        <v>0</v>
      </c>
      <c r="I1036" s="81" t="str">
        <f>CONCATENATE(Data!M1036,"-",Data!L1036)</f>
        <v>-</v>
      </c>
      <c r="N1036" s="81">
        <f>IF(Data!P1036,DATEDIF(Data!O1036,Data!P1036,"d"),0)</f>
        <v>0</v>
      </c>
      <c r="O1036" s="81">
        <f>IF(Data!M1036="CD",1,0)</f>
        <v>0</v>
      </c>
      <c r="P1036" s="81">
        <f>IF(Data!M1036="CD",0,1)</f>
        <v>1</v>
      </c>
      <c r="Q1036" s="81">
        <f>IF(Data!Q1036&gt;Data!P1036,DATEDIF(Data!P1036,Data!Q1036,"d"),0)</f>
        <v>0</v>
      </c>
      <c r="R1036" s="81">
        <f>IF(Data!R1036&gt;Data!Q1036,DATEDIF(Data!Q1036,Data!R1036,"d"),0)</f>
        <v>0</v>
      </c>
    </row>
    <row r="1037" spans="3:18" x14ac:dyDescent="0.2">
      <c r="C1037" s="80">
        <f t="shared" ca="1" si="34"/>
        <v>45959</v>
      </c>
      <c r="D1037" s="81">
        <f>IF(Data!I1037&lt;&gt;"",DATEDIF(Data!I1037,C1037,"m"),0)</f>
        <v>0</v>
      </c>
      <c r="E1037" s="82">
        <f t="shared" si="35"/>
        <v>0</v>
      </c>
      <c r="I1037" s="81" t="str">
        <f>CONCATENATE(Data!M1037,"-",Data!L1037)</f>
        <v>-</v>
      </c>
      <c r="N1037" s="81">
        <f>IF(Data!P1037,DATEDIF(Data!O1037,Data!P1037,"d"),0)</f>
        <v>0</v>
      </c>
      <c r="O1037" s="81">
        <f>IF(Data!M1037="CD",1,0)</f>
        <v>0</v>
      </c>
      <c r="P1037" s="81">
        <f>IF(Data!M1037="CD",0,1)</f>
        <v>1</v>
      </c>
      <c r="Q1037" s="81">
        <f>IF(Data!Q1037&gt;Data!P1037,DATEDIF(Data!P1037,Data!Q1037,"d"),0)</f>
        <v>0</v>
      </c>
      <c r="R1037" s="81">
        <f>IF(Data!R1037&gt;Data!Q1037,DATEDIF(Data!Q1037,Data!R1037,"d"),0)</f>
        <v>0</v>
      </c>
    </row>
    <row r="1038" spans="3:18" x14ac:dyDescent="0.2">
      <c r="C1038" s="80">
        <f t="shared" ca="1" si="34"/>
        <v>45959</v>
      </c>
      <c r="D1038" s="81">
        <f>IF(Data!I1038&lt;&gt;"",DATEDIF(Data!I1038,C1038,"m"),0)</f>
        <v>0</v>
      </c>
      <c r="E1038" s="82">
        <f t="shared" si="35"/>
        <v>0</v>
      </c>
      <c r="I1038" s="81" t="str">
        <f>CONCATENATE(Data!M1038,"-",Data!L1038)</f>
        <v>-</v>
      </c>
      <c r="N1038" s="81">
        <f>IF(Data!P1038,DATEDIF(Data!O1038,Data!P1038,"d"),0)</f>
        <v>0</v>
      </c>
      <c r="O1038" s="81">
        <f>IF(Data!M1038="CD",1,0)</f>
        <v>0</v>
      </c>
      <c r="P1038" s="81">
        <f>IF(Data!M1038="CD",0,1)</f>
        <v>1</v>
      </c>
      <c r="Q1038" s="81">
        <f>IF(Data!Q1038&gt;Data!P1038,DATEDIF(Data!P1038,Data!Q1038,"d"),0)</f>
        <v>0</v>
      </c>
      <c r="R1038" s="81">
        <f>IF(Data!R1038&gt;Data!Q1038,DATEDIF(Data!Q1038,Data!R1038,"d"),0)</f>
        <v>0</v>
      </c>
    </row>
    <row r="1039" spans="3:18" x14ac:dyDescent="0.2">
      <c r="C1039" s="80">
        <f t="shared" ca="1" si="34"/>
        <v>45959</v>
      </c>
      <c r="D1039" s="81">
        <f>IF(Data!I1039&lt;&gt;"",DATEDIF(Data!I1039,C1039,"m"),0)</f>
        <v>0</v>
      </c>
      <c r="E1039" s="82">
        <f t="shared" si="35"/>
        <v>0</v>
      </c>
      <c r="I1039" s="81" t="str">
        <f>CONCATENATE(Data!M1039,"-",Data!L1039)</f>
        <v>-</v>
      </c>
      <c r="N1039" s="81">
        <f>IF(Data!P1039,DATEDIF(Data!O1039,Data!P1039,"d"),0)</f>
        <v>0</v>
      </c>
      <c r="O1039" s="81">
        <f>IF(Data!M1039="CD",1,0)</f>
        <v>0</v>
      </c>
      <c r="P1039" s="81">
        <f>IF(Data!M1039="CD",0,1)</f>
        <v>1</v>
      </c>
      <c r="Q1039" s="81">
        <f>IF(Data!Q1039&gt;Data!P1039,DATEDIF(Data!P1039,Data!Q1039,"d"),0)</f>
        <v>0</v>
      </c>
      <c r="R1039" s="81">
        <f>IF(Data!R1039&gt;Data!Q1039,DATEDIF(Data!Q1039,Data!R1039,"d"),0)</f>
        <v>0</v>
      </c>
    </row>
    <row r="1040" spans="3:18" x14ac:dyDescent="0.2">
      <c r="C1040" s="80">
        <f t="shared" ca="1" si="34"/>
        <v>45959</v>
      </c>
      <c r="D1040" s="81">
        <f>IF(Data!I1040&lt;&gt;"",DATEDIF(Data!I1040,C1040,"m"),0)</f>
        <v>0</v>
      </c>
      <c r="E1040" s="82">
        <f t="shared" si="35"/>
        <v>0</v>
      </c>
      <c r="I1040" s="81" t="str">
        <f>CONCATENATE(Data!M1040,"-",Data!L1040)</f>
        <v>-</v>
      </c>
      <c r="N1040" s="81">
        <f>IF(Data!P1040,DATEDIF(Data!O1040,Data!P1040,"d"),0)</f>
        <v>0</v>
      </c>
      <c r="O1040" s="81">
        <f>IF(Data!M1040="CD",1,0)</f>
        <v>0</v>
      </c>
      <c r="P1040" s="81">
        <f>IF(Data!M1040="CD",0,1)</f>
        <v>1</v>
      </c>
      <c r="Q1040" s="81">
        <f>IF(Data!Q1040&gt;Data!P1040,DATEDIF(Data!P1040,Data!Q1040,"d"),0)</f>
        <v>0</v>
      </c>
      <c r="R1040" s="81">
        <f>IF(Data!R1040&gt;Data!Q1040,DATEDIF(Data!Q1040,Data!R1040,"d"),0)</f>
        <v>0</v>
      </c>
    </row>
    <row r="1041" spans="3:18" x14ac:dyDescent="0.2">
      <c r="C1041" s="80">
        <f t="shared" ca="1" si="34"/>
        <v>45959</v>
      </c>
      <c r="D1041" s="81">
        <f>IF(Data!I1041&lt;&gt;"",DATEDIF(Data!I1041,C1041,"m"),0)</f>
        <v>0</v>
      </c>
      <c r="E1041" s="82">
        <f t="shared" si="35"/>
        <v>0</v>
      </c>
      <c r="I1041" s="81" t="str">
        <f>CONCATENATE(Data!M1041,"-",Data!L1041)</f>
        <v>-</v>
      </c>
      <c r="N1041" s="81">
        <f>IF(Data!P1041,DATEDIF(Data!O1041,Data!P1041,"d"),0)</f>
        <v>0</v>
      </c>
      <c r="O1041" s="81">
        <f>IF(Data!M1041="CD",1,0)</f>
        <v>0</v>
      </c>
      <c r="P1041" s="81">
        <f>IF(Data!M1041="CD",0,1)</f>
        <v>1</v>
      </c>
      <c r="Q1041" s="81">
        <f>IF(Data!Q1041&gt;Data!P1041,DATEDIF(Data!P1041,Data!Q1041,"d"),0)</f>
        <v>0</v>
      </c>
      <c r="R1041" s="81">
        <f>IF(Data!R1041&gt;Data!Q1041,DATEDIF(Data!Q1041,Data!R1041,"d"),0)</f>
        <v>0</v>
      </c>
    </row>
    <row r="1042" spans="3:18" x14ac:dyDescent="0.2">
      <c r="C1042" s="80">
        <f t="shared" ca="1" si="34"/>
        <v>45959</v>
      </c>
      <c r="D1042" s="81">
        <f>IF(Data!I1042&lt;&gt;"",DATEDIF(Data!I1042,C1042,"m"),0)</f>
        <v>0</v>
      </c>
      <c r="E1042" s="82">
        <f t="shared" si="35"/>
        <v>0</v>
      </c>
      <c r="I1042" s="81" t="str">
        <f>CONCATENATE(Data!M1042,"-",Data!L1042)</f>
        <v>-</v>
      </c>
      <c r="N1042" s="81">
        <f>IF(Data!P1042,DATEDIF(Data!O1042,Data!P1042,"d"),0)</f>
        <v>0</v>
      </c>
      <c r="O1042" s="81">
        <f>IF(Data!M1042="CD",1,0)</f>
        <v>0</v>
      </c>
      <c r="P1042" s="81">
        <f>IF(Data!M1042="CD",0,1)</f>
        <v>1</v>
      </c>
      <c r="Q1042" s="81">
        <f>IF(Data!Q1042&gt;Data!P1042,DATEDIF(Data!P1042,Data!Q1042,"d"),0)</f>
        <v>0</v>
      </c>
      <c r="R1042" s="81">
        <f>IF(Data!R1042&gt;Data!Q1042,DATEDIF(Data!Q1042,Data!R1042,"d"),0)</f>
        <v>0</v>
      </c>
    </row>
    <row r="1043" spans="3:18" x14ac:dyDescent="0.2">
      <c r="C1043" s="80">
        <f t="shared" ca="1" si="34"/>
        <v>45959</v>
      </c>
      <c r="D1043" s="81">
        <f>IF(Data!I1043&lt;&gt;"",DATEDIF(Data!I1043,C1043,"m"),0)</f>
        <v>0</v>
      </c>
      <c r="E1043" s="82">
        <f t="shared" si="35"/>
        <v>0</v>
      </c>
      <c r="I1043" s="81" t="str">
        <f>CONCATENATE(Data!M1043,"-",Data!L1043)</f>
        <v>-</v>
      </c>
      <c r="N1043" s="81">
        <f>IF(Data!P1043,DATEDIF(Data!O1043,Data!P1043,"d"),0)</f>
        <v>0</v>
      </c>
      <c r="O1043" s="81">
        <f>IF(Data!M1043="CD",1,0)</f>
        <v>0</v>
      </c>
      <c r="P1043" s="81">
        <f>IF(Data!M1043="CD",0,1)</f>
        <v>1</v>
      </c>
      <c r="Q1043" s="81">
        <f>IF(Data!Q1043&gt;Data!P1043,DATEDIF(Data!P1043,Data!Q1043,"d"),0)</f>
        <v>0</v>
      </c>
      <c r="R1043" s="81">
        <f>IF(Data!R1043&gt;Data!Q1043,DATEDIF(Data!Q1043,Data!R1043,"d"),0)</f>
        <v>0</v>
      </c>
    </row>
    <row r="1044" spans="3:18" x14ac:dyDescent="0.2">
      <c r="C1044" s="80">
        <f t="shared" ca="1" si="34"/>
        <v>45959</v>
      </c>
      <c r="D1044" s="81">
        <f>IF(Data!I1044&lt;&gt;"",DATEDIF(Data!I1044,C1044,"m"),0)</f>
        <v>0</v>
      </c>
      <c r="E1044" s="82">
        <f t="shared" si="35"/>
        <v>0</v>
      </c>
      <c r="I1044" s="81" t="str">
        <f>CONCATENATE(Data!M1044,"-",Data!L1044)</f>
        <v>-</v>
      </c>
      <c r="N1044" s="81">
        <f>IF(Data!P1044,DATEDIF(Data!O1044,Data!P1044,"d"),0)</f>
        <v>0</v>
      </c>
      <c r="O1044" s="81">
        <f>IF(Data!M1044="CD",1,0)</f>
        <v>0</v>
      </c>
      <c r="P1044" s="81">
        <f>IF(Data!M1044="CD",0,1)</f>
        <v>1</v>
      </c>
      <c r="Q1044" s="81">
        <f>IF(Data!Q1044&gt;Data!P1044,DATEDIF(Data!P1044,Data!Q1044,"d"),0)</f>
        <v>0</v>
      </c>
      <c r="R1044" s="81">
        <f>IF(Data!R1044&gt;Data!Q1044,DATEDIF(Data!Q1044,Data!R1044,"d"),0)</f>
        <v>0</v>
      </c>
    </row>
    <row r="1045" spans="3:18" x14ac:dyDescent="0.2">
      <c r="C1045" s="80">
        <f t="shared" ca="1" si="34"/>
        <v>45959</v>
      </c>
      <c r="D1045" s="81">
        <f>IF(Data!I1045&lt;&gt;"",DATEDIF(Data!I1045,C1045,"m"),0)</f>
        <v>0</v>
      </c>
      <c r="E1045" s="82">
        <f t="shared" si="35"/>
        <v>0</v>
      </c>
      <c r="I1045" s="81" t="str">
        <f>CONCATENATE(Data!M1045,"-",Data!L1045)</f>
        <v>-</v>
      </c>
      <c r="N1045" s="81">
        <f>IF(Data!P1045,DATEDIF(Data!O1045,Data!P1045,"d"),0)</f>
        <v>0</v>
      </c>
      <c r="O1045" s="81">
        <f>IF(Data!M1045="CD",1,0)</f>
        <v>0</v>
      </c>
      <c r="P1045" s="81">
        <f>IF(Data!M1045="CD",0,1)</f>
        <v>1</v>
      </c>
      <c r="Q1045" s="81">
        <f>IF(Data!Q1045&gt;Data!P1045,DATEDIF(Data!P1045,Data!Q1045,"d"),0)</f>
        <v>0</v>
      </c>
      <c r="R1045" s="81">
        <f>IF(Data!R1045&gt;Data!Q1045,DATEDIF(Data!Q1045,Data!R1045,"d"),0)</f>
        <v>0</v>
      </c>
    </row>
    <row r="1046" spans="3:18" x14ac:dyDescent="0.2">
      <c r="C1046" s="80">
        <f t="shared" ca="1" si="34"/>
        <v>45959</v>
      </c>
      <c r="D1046" s="81">
        <f>IF(Data!I1046&lt;&gt;"",DATEDIF(Data!I1046,C1046,"m"),0)</f>
        <v>0</v>
      </c>
      <c r="E1046" s="82">
        <f t="shared" si="35"/>
        <v>0</v>
      </c>
      <c r="I1046" s="81" t="str">
        <f>CONCATENATE(Data!M1046,"-",Data!L1046)</f>
        <v>-</v>
      </c>
      <c r="N1046" s="81">
        <f>IF(Data!P1046,DATEDIF(Data!O1046,Data!P1046,"d"),0)</f>
        <v>0</v>
      </c>
      <c r="O1046" s="81">
        <f>IF(Data!M1046="CD",1,0)</f>
        <v>0</v>
      </c>
      <c r="P1046" s="81">
        <f>IF(Data!M1046="CD",0,1)</f>
        <v>1</v>
      </c>
      <c r="Q1046" s="81">
        <f>IF(Data!Q1046&gt;Data!P1046,DATEDIF(Data!P1046,Data!Q1046,"d"),0)</f>
        <v>0</v>
      </c>
      <c r="R1046" s="81">
        <f>IF(Data!R1046&gt;Data!Q1046,DATEDIF(Data!Q1046,Data!R1046,"d"),0)</f>
        <v>0</v>
      </c>
    </row>
    <row r="1047" spans="3:18" x14ac:dyDescent="0.2">
      <c r="C1047" s="80">
        <f t="shared" ca="1" si="34"/>
        <v>45959</v>
      </c>
      <c r="D1047" s="81">
        <f>IF(Data!I1047&lt;&gt;"",DATEDIF(Data!I1047,C1047,"m"),0)</f>
        <v>0</v>
      </c>
      <c r="E1047" s="82">
        <f t="shared" si="35"/>
        <v>0</v>
      </c>
      <c r="I1047" s="81" t="str">
        <f>CONCATENATE(Data!M1047,"-",Data!L1047)</f>
        <v>-</v>
      </c>
      <c r="N1047" s="81">
        <f>IF(Data!P1047,DATEDIF(Data!O1047,Data!P1047,"d"),0)</f>
        <v>0</v>
      </c>
      <c r="O1047" s="81">
        <f>IF(Data!M1047="CD",1,0)</f>
        <v>0</v>
      </c>
      <c r="P1047" s="81">
        <f>IF(Data!M1047="CD",0,1)</f>
        <v>1</v>
      </c>
      <c r="Q1047" s="81">
        <f>IF(Data!Q1047&gt;Data!P1047,DATEDIF(Data!P1047,Data!Q1047,"d"),0)</f>
        <v>0</v>
      </c>
      <c r="R1047" s="81">
        <f>IF(Data!R1047&gt;Data!Q1047,DATEDIF(Data!Q1047,Data!R1047,"d"),0)</f>
        <v>0</v>
      </c>
    </row>
    <row r="1048" spans="3:18" x14ac:dyDescent="0.2">
      <c r="C1048" s="80">
        <f t="shared" ca="1" si="34"/>
        <v>45959</v>
      </c>
      <c r="D1048" s="81">
        <f>IF(Data!I1048&lt;&gt;"",DATEDIF(Data!I1048,C1048,"m"),0)</f>
        <v>0</v>
      </c>
      <c r="E1048" s="82">
        <f t="shared" si="35"/>
        <v>0</v>
      </c>
      <c r="I1048" s="81" t="str">
        <f>CONCATENATE(Data!M1048,"-",Data!L1048)</f>
        <v>-</v>
      </c>
      <c r="N1048" s="81">
        <f>IF(Data!P1048,DATEDIF(Data!O1048,Data!P1048,"d"),0)</f>
        <v>0</v>
      </c>
      <c r="O1048" s="81">
        <f>IF(Data!M1048="CD",1,0)</f>
        <v>0</v>
      </c>
      <c r="P1048" s="81">
        <f>IF(Data!M1048="CD",0,1)</f>
        <v>1</v>
      </c>
      <c r="Q1048" s="81">
        <f>IF(Data!Q1048&gt;Data!P1048,DATEDIF(Data!P1048,Data!Q1048,"d"),0)</f>
        <v>0</v>
      </c>
      <c r="R1048" s="81">
        <f>IF(Data!R1048&gt;Data!Q1048,DATEDIF(Data!Q1048,Data!R1048,"d"),0)</f>
        <v>0</v>
      </c>
    </row>
    <row r="1049" spans="3:18" x14ac:dyDescent="0.2">
      <c r="C1049" s="80">
        <f t="shared" ca="1" si="34"/>
        <v>45959</v>
      </c>
      <c r="D1049" s="81">
        <f>IF(Data!I1049&lt;&gt;"",DATEDIF(Data!I1049,C1049,"m"),0)</f>
        <v>0</v>
      </c>
      <c r="E1049" s="82">
        <f t="shared" si="35"/>
        <v>0</v>
      </c>
      <c r="I1049" s="81" t="str">
        <f>CONCATENATE(Data!M1049,"-",Data!L1049)</f>
        <v>-</v>
      </c>
      <c r="N1049" s="81">
        <f>IF(Data!P1049,DATEDIF(Data!O1049,Data!P1049,"d"),0)</f>
        <v>0</v>
      </c>
      <c r="O1049" s="81">
        <f>IF(Data!M1049="CD",1,0)</f>
        <v>0</v>
      </c>
      <c r="P1049" s="81">
        <f>IF(Data!M1049="CD",0,1)</f>
        <v>1</v>
      </c>
      <c r="Q1049" s="81">
        <f>IF(Data!Q1049&gt;Data!P1049,DATEDIF(Data!P1049,Data!Q1049,"d"),0)</f>
        <v>0</v>
      </c>
      <c r="R1049" s="81">
        <f>IF(Data!R1049&gt;Data!Q1049,DATEDIF(Data!Q1049,Data!R1049,"d"),0)</f>
        <v>0</v>
      </c>
    </row>
    <row r="1050" spans="3:18" x14ac:dyDescent="0.2">
      <c r="C1050" s="80">
        <f t="shared" ca="1" si="34"/>
        <v>45959</v>
      </c>
      <c r="D1050" s="81">
        <f>IF(Data!I1050&lt;&gt;"",DATEDIF(Data!I1050,C1050,"m"),0)</f>
        <v>0</v>
      </c>
      <c r="E1050" s="82">
        <f t="shared" si="35"/>
        <v>0</v>
      </c>
      <c r="I1050" s="81" t="str">
        <f>CONCATENATE(Data!M1050,"-",Data!L1050)</f>
        <v>-</v>
      </c>
      <c r="N1050" s="81">
        <f>IF(Data!P1050,DATEDIF(Data!O1050,Data!P1050,"d"),0)</f>
        <v>0</v>
      </c>
      <c r="O1050" s="81">
        <f>IF(Data!M1050="CD",1,0)</f>
        <v>0</v>
      </c>
      <c r="P1050" s="81">
        <f>IF(Data!M1050="CD",0,1)</f>
        <v>1</v>
      </c>
      <c r="Q1050" s="81">
        <f>IF(Data!Q1050&gt;Data!P1050,DATEDIF(Data!P1050,Data!Q1050,"d"),0)</f>
        <v>0</v>
      </c>
      <c r="R1050" s="81">
        <f>IF(Data!R1050&gt;Data!Q1050,DATEDIF(Data!Q1050,Data!R1050,"d"),0)</f>
        <v>0</v>
      </c>
    </row>
    <row r="1051" spans="3:18" x14ac:dyDescent="0.2">
      <c r="C1051" s="80">
        <f t="shared" ca="1" si="34"/>
        <v>45959</v>
      </c>
      <c r="D1051" s="81">
        <f>IF(Data!I1051&lt;&gt;"",DATEDIF(Data!I1051,C1051,"m"),0)</f>
        <v>0</v>
      </c>
      <c r="E1051" s="82">
        <f t="shared" si="35"/>
        <v>0</v>
      </c>
      <c r="I1051" s="81" t="str">
        <f>CONCATENATE(Data!M1051,"-",Data!L1051)</f>
        <v>-</v>
      </c>
      <c r="N1051" s="81">
        <f>IF(Data!P1051,DATEDIF(Data!O1051,Data!P1051,"d"),0)</f>
        <v>0</v>
      </c>
      <c r="O1051" s="81">
        <f>IF(Data!M1051="CD",1,0)</f>
        <v>0</v>
      </c>
      <c r="P1051" s="81">
        <f>IF(Data!M1051="CD",0,1)</f>
        <v>1</v>
      </c>
      <c r="Q1051" s="81">
        <f>IF(Data!Q1051&gt;Data!P1051,DATEDIF(Data!P1051,Data!Q1051,"d"),0)</f>
        <v>0</v>
      </c>
      <c r="R1051" s="81">
        <f>IF(Data!R1051&gt;Data!Q1051,DATEDIF(Data!Q1051,Data!R1051,"d"),0)</f>
        <v>0</v>
      </c>
    </row>
    <row r="1052" spans="3:18" x14ac:dyDescent="0.2">
      <c r="C1052" s="80">
        <f t="shared" ca="1" si="34"/>
        <v>45959</v>
      </c>
      <c r="D1052" s="81">
        <f>IF(Data!I1052&lt;&gt;"",DATEDIF(Data!I1052,C1052,"m"),0)</f>
        <v>0</v>
      </c>
      <c r="E1052" s="82">
        <f t="shared" si="35"/>
        <v>0</v>
      </c>
      <c r="I1052" s="81" t="str">
        <f>CONCATENATE(Data!M1052,"-",Data!L1052)</f>
        <v>-</v>
      </c>
      <c r="N1052" s="81">
        <f>IF(Data!P1052,DATEDIF(Data!O1052,Data!P1052,"d"),0)</f>
        <v>0</v>
      </c>
      <c r="O1052" s="81">
        <f>IF(Data!M1052="CD",1,0)</f>
        <v>0</v>
      </c>
      <c r="P1052" s="81">
        <f>IF(Data!M1052="CD",0,1)</f>
        <v>1</v>
      </c>
      <c r="Q1052" s="81">
        <f>IF(Data!Q1052&gt;Data!P1052,DATEDIF(Data!P1052,Data!Q1052,"d"),0)</f>
        <v>0</v>
      </c>
      <c r="R1052" s="81">
        <f>IF(Data!R1052&gt;Data!Q1052,DATEDIF(Data!Q1052,Data!R1052,"d"),0)</f>
        <v>0</v>
      </c>
    </row>
    <row r="1053" spans="3:18" x14ac:dyDescent="0.2">
      <c r="C1053" s="80">
        <f t="shared" ca="1" si="34"/>
        <v>45959</v>
      </c>
      <c r="D1053" s="81">
        <f>IF(Data!I1053&lt;&gt;"",DATEDIF(Data!I1053,C1053,"m"),0)</f>
        <v>0</v>
      </c>
      <c r="E1053" s="82">
        <f t="shared" si="35"/>
        <v>0</v>
      </c>
      <c r="I1053" s="81" t="str">
        <f>CONCATENATE(Data!M1053,"-",Data!L1053)</f>
        <v>-</v>
      </c>
      <c r="N1053" s="81">
        <f>IF(Data!P1053,DATEDIF(Data!O1053,Data!P1053,"d"),0)</f>
        <v>0</v>
      </c>
      <c r="O1053" s="81">
        <f>IF(Data!M1053="CD",1,0)</f>
        <v>0</v>
      </c>
      <c r="P1053" s="81">
        <f>IF(Data!M1053="CD",0,1)</f>
        <v>1</v>
      </c>
      <c r="Q1053" s="81">
        <f>IF(Data!Q1053&gt;Data!P1053,DATEDIF(Data!P1053,Data!Q1053,"d"),0)</f>
        <v>0</v>
      </c>
      <c r="R1053" s="81">
        <f>IF(Data!R1053&gt;Data!Q1053,DATEDIF(Data!Q1053,Data!R1053,"d"),0)</f>
        <v>0</v>
      </c>
    </row>
    <row r="1054" spans="3:18" x14ac:dyDescent="0.2">
      <c r="C1054" s="80">
        <f t="shared" ca="1" si="34"/>
        <v>45959</v>
      </c>
      <c r="D1054" s="81">
        <f>IF(Data!I1054&lt;&gt;"",DATEDIF(Data!I1054,C1054,"m"),0)</f>
        <v>0</v>
      </c>
      <c r="E1054" s="82">
        <f t="shared" si="35"/>
        <v>0</v>
      </c>
      <c r="I1054" s="81" t="str">
        <f>CONCATENATE(Data!M1054,"-",Data!L1054)</f>
        <v>-</v>
      </c>
      <c r="N1054" s="81">
        <f>IF(Data!P1054,DATEDIF(Data!O1054,Data!P1054,"d"),0)</f>
        <v>0</v>
      </c>
      <c r="O1054" s="81">
        <f>IF(Data!M1054="CD",1,0)</f>
        <v>0</v>
      </c>
      <c r="P1054" s="81">
        <f>IF(Data!M1054="CD",0,1)</f>
        <v>1</v>
      </c>
      <c r="Q1054" s="81">
        <f>IF(Data!Q1054&gt;Data!P1054,DATEDIF(Data!P1054,Data!Q1054,"d"),0)</f>
        <v>0</v>
      </c>
      <c r="R1054" s="81">
        <f>IF(Data!R1054&gt;Data!Q1054,DATEDIF(Data!Q1054,Data!R1054,"d"),0)</f>
        <v>0</v>
      </c>
    </row>
    <row r="1055" spans="3:18" x14ac:dyDescent="0.2">
      <c r="C1055" s="80">
        <f t="shared" ca="1" si="34"/>
        <v>45959</v>
      </c>
      <c r="D1055" s="81">
        <f>IF(Data!I1055&lt;&gt;"",DATEDIF(Data!I1055,C1055,"m"),0)</f>
        <v>0</v>
      </c>
      <c r="E1055" s="82">
        <f t="shared" si="35"/>
        <v>0</v>
      </c>
      <c r="I1055" s="81" t="str">
        <f>CONCATENATE(Data!M1055,"-",Data!L1055)</f>
        <v>-</v>
      </c>
      <c r="N1055" s="81">
        <f>IF(Data!P1055,DATEDIF(Data!O1055,Data!P1055,"d"),0)</f>
        <v>0</v>
      </c>
      <c r="O1055" s="81">
        <f>IF(Data!M1055="CD",1,0)</f>
        <v>0</v>
      </c>
      <c r="P1055" s="81">
        <f>IF(Data!M1055="CD",0,1)</f>
        <v>1</v>
      </c>
      <c r="Q1055" s="81">
        <f>IF(Data!Q1055&gt;Data!P1055,DATEDIF(Data!P1055,Data!Q1055,"d"),0)</f>
        <v>0</v>
      </c>
      <c r="R1055" s="81">
        <f>IF(Data!R1055&gt;Data!Q1055,DATEDIF(Data!Q1055,Data!R1055,"d"),0)</f>
        <v>0</v>
      </c>
    </row>
    <row r="1056" spans="3:18" x14ac:dyDescent="0.2">
      <c r="C1056" s="80">
        <f t="shared" ca="1" si="34"/>
        <v>45959</v>
      </c>
      <c r="D1056" s="81">
        <f>IF(Data!I1056&lt;&gt;"",DATEDIF(Data!I1056,C1056,"m"),0)</f>
        <v>0</v>
      </c>
      <c r="E1056" s="82">
        <f t="shared" si="35"/>
        <v>0</v>
      </c>
      <c r="I1056" s="81" t="str">
        <f>CONCATENATE(Data!M1056,"-",Data!L1056)</f>
        <v>-</v>
      </c>
      <c r="N1056" s="81">
        <f>IF(Data!P1056,DATEDIF(Data!O1056,Data!P1056,"d"),0)</f>
        <v>0</v>
      </c>
      <c r="O1056" s="81">
        <f>IF(Data!M1056="CD",1,0)</f>
        <v>0</v>
      </c>
      <c r="P1056" s="81">
        <f>IF(Data!M1056="CD",0,1)</f>
        <v>1</v>
      </c>
      <c r="Q1056" s="81">
        <f>IF(Data!Q1056&gt;Data!P1056,DATEDIF(Data!P1056,Data!Q1056,"d"),0)</f>
        <v>0</v>
      </c>
      <c r="R1056" s="81">
        <f>IF(Data!R1056&gt;Data!Q1056,DATEDIF(Data!Q1056,Data!R1056,"d"),0)</f>
        <v>0</v>
      </c>
    </row>
    <row r="1057" spans="3:18" x14ac:dyDescent="0.2">
      <c r="C1057" s="80">
        <f t="shared" ca="1" si="34"/>
        <v>45959</v>
      </c>
      <c r="D1057" s="81">
        <f>IF(Data!I1057&lt;&gt;"",DATEDIF(Data!I1057,C1057,"m"),0)</f>
        <v>0</v>
      </c>
      <c r="E1057" s="82">
        <f t="shared" si="35"/>
        <v>0</v>
      </c>
      <c r="I1057" s="81" t="str">
        <f>CONCATENATE(Data!M1057,"-",Data!L1057)</f>
        <v>-</v>
      </c>
      <c r="N1057" s="81">
        <f>IF(Data!P1057,DATEDIF(Data!O1057,Data!P1057,"d"),0)</f>
        <v>0</v>
      </c>
      <c r="O1057" s="81">
        <f>IF(Data!M1057="CD",1,0)</f>
        <v>0</v>
      </c>
      <c r="P1057" s="81">
        <f>IF(Data!M1057="CD",0,1)</f>
        <v>1</v>
      </c>
      <c r="Q1057" s="81">
        <f>IF(Data!Q1057&gt;Data!P1057,DATEDIF(Data!P1057,Data!Q1057,"d"),0)</f>
        <v>0</v>
      </c>
      <c r="R1057" s="81">
        <f>IF(Data!R1057&gt;Data!Q1057,DATEDIF(Data!Q1057,Data!R1057,"d"),0)</f>
        <v>0</v>
      </c>
    </row>
    <row r="1058" spans="3:18" x14ac:dyDescent="0.2">
      <c r="C1058" s="80">
        <f t="shared" ca="1" si="34"/>
        <v>45959</v>
      </c>
      <c r="D1058" s="81">
        <f>IF(Data!I1058&lt;&gt;"",DATEDIF(Data!I1058,C1058,"m"),0)</f>
        <v>0</v>
      </c>
      <c r="E1058" s="82">
        <f t="shared" si="35"/>
        <v>0</v>
      </c>
      <c r="I1058" s="81" t="str">
        <f>CONCATENATE(Data!M1058,"-",Data!L1058)</f>
        <v>-</v>
      </c>
      <c r="N1058" s="81">
        <f>IF(Data!P1058,DATEDIF(Data!O1058,Data!P1058,"d"),0)</f>
        <v>0</v>
      </c>
      <c r="O1058" s="81">
        <f>IF(Data!M1058="CD",1,0)</f>
        <v>0</v>
      </c>
      <c r="P1058" s="81">
        <f>IF(Data!M1058="CD",0,1)</f>
        <v>1</v>
      </c>
      <c r="Q1058" s="81">
        <f>IF(Data!Q1058&gt;Data!P1058,DATEDIF(Data!P1058,Data!Q1058,"d"),0)</f>
        <v>0</v>
      </c>
      <c r="R1058" s="81">
        <f>IF(Data!R1058&gt;Data!Q1058,DATEDIF(Data!Q1058,Data!R1058,"d"),0)</f>
        <v>0</v>
      </c>
    </row>
    <row r="1059" spans="3:18" x14ac:dyDescent="0.2">
      <c r="C1059" s="80">
        <f t="shared" ca="1" si="34"/>
        <v>45959</v>
      </c>
      <c r="D1059" s="81">
        <f>IF(Data!I1059&lt;&gt;"",DATEDIF(Data!I1059,C1059,"m"),0)</f>
        <v>0</v>
      </c>
      <c r="E1059" s="82">
        <f t="shared" si="35"/>
        <v>0</v>
      </c>
      <c r="I1059" s="81" t="str">
        <f>CONCATENATE(Data!M1059,"-",Data!L1059)</f>
        <v>-</v>
      </c>
      <c r="N1059" s="81">
        <f>IF(Data!P1059,DATEDIF(Data!O1059,Data!P1059,"d"),0)</f>
        <v>0</v>
      </c>
      <c r="O1059" s="81">
        <f>IF(Data!M1059="CD",1,0)</f>
        <v>0</v>
      </c>
      <c r="P1059" s="81">
        <f>IF(Data!M1059="CD",0,1)</f>
        <v>1</v>
      </c>
      <c r="Q1059" s="81">
        <f>IF(Data!Q1059&gt;Data!P1059,DATEDIF(Data!P1059,Data!Q1059,"d"),0)</f>
        <v>0</v>
      </c>
      <c r="R1059" s="81">
        <f>IF(Data!R1059&gt;Data!Q1059,DATEDIF(Data!Q1059,Data!R1059,"d"),0)</f>
        <v>0</v>
      </c>
    </row>
    <row r="1060" spans="3:18" x14ac:dyDescent="0.2">
      <c r="C1060" s="80">
        <f t="shared" ca="1" si="34"/>
        <v>45959</v>
      </c>
      <c r="D1060" s="81">
        <f>IF(Data!I1060&lt;&gt;"",DATEDIF(Data!I1060,C1060,"m"),0)</f>
        <v>0</v>
      </c>
      <c r="E1060" s="82">
        <f t="shared" si="35"/>
        <v>0</v>
      </c>
      <c r="I1060" s="81" t="str">
        <f>CONCATENATE(Data!M1060,"-",Data!L1060)</f>
        <v>-</v>
      </c>
      <c r="N1060" s="81">
        <f>IF(Data!P1060,DATEDIF(Data!O1060,Data!P1060,"d"),0)</f>
        <v>0</v>
      </c>
      <c r="O1060" s="81">
        <f>IF(Data!M1060="CD",1,0)</f>
        <v>0</v>
      </c>
      <c r="P1060" s="81">
        <f>IF(Data!M1060="CD",0,1)</f>
        <v>1</v>
      </c>
      <c r="Q1060" s="81">
        <f>IF(Data!Q1060&gt;Data!P1060,DATEDIF(Data!P1060,Data!Q1060,"d"),0)</f>
        <v>0</v>
      </c>
      <c r="R1060" s="81">
        <f>IF(Data!R1060&gt;Data!Q1060,DATEDIF(Data!Q1060,Data!R1060,"d"),0)</f>
        <v>0</v>
      </c>
    </row>
    <row r="1061" spans="3:18" x14ac:dyDescent="0.2">
      <c r="C1061" s="80">
        <f t="shared" ca="1" si="34"/>
        <v>45959</v>
      </c>
      <c r="D1061" s="81">
        <f>IF(Data!I1061&lt;&gt;"",DATEDIF(Data!I1061,C1061,"m"),0)</f>
        <v>0</v>
      </c>
      <c r="E1061" s="82">
        <f t="shared" si="35"/>
        <v>0</v>
      </c>
      <c r="I1061" s="81" t="str">
        <f>CONCATENATE(Data!M1061,"-",Data!L1061)</f>
        <v>-</v>
      </c>
      <c r="N1061" s="81">
        <f>IF(Data!P1061,DATEDIF(Data!O1061,Data!P1061,"d"),0)</f>
        <v>0</v>
      </c>
      <c r="O1061" s="81">
        <f>IF(Data!M1061="CD",1,0)</f>
        <v>0</v>
      </c>
      <c r="P1061" s="81">
        <f>IF(Data!M1061="CD",0,1)</f>
        <v>1</v>
      </c>
      <c r="Q1061" s="81">
        <f>IF(Data!Q1061&gt;Data!P1061,DATEDIF(Data!P1061,Data!Q1061,"d"),0)</f>
        <v>0</v>
      </c>
      <c r="R1061" s="81">
        <f>IF(Data!R1061&gt;Data!Q1061,DATEDIF(Data!Q1061,Data!R1061,"d"),0)</f>
        <v>0</v>
      </c>
    </row>
    <row r="1062" spans="3:18" x14ac:dyDescent="0.2">
      <c r="C1062" s="80">
        <f t="shared" ca="1" si="34"/>
        <v>45959</v>
      </c>
      <c r="D1062" s="81">
        <f>IF(Data!I1062&lt;&gt;"",DATEDIF(Data!I1062,C1062,"m"),0)</f>
        <v>0</v>
      </c>
      <c r="E1062" s="82">
        <f t="shared" si="35"/>
        <v>0</v>
      </c>
      <c r="I1062" s="81" t="str">
        <f>CONCATENATE(Data!M1062,"-",Data!L1062)</f>
        <v>-</v>
      </c>
      <c r="N1062" s="81">
        <f>IF(Data!P1062,DATEDIF(Data!O1062,Data!P1062,"d"),0)</f>
        <v>0</v>
      </c>
      <c r="O1062" s="81">
        <f>IF(Data!M1062="CD",1,0)</f>
        <v>0</v>
      </c>
      <c r="P1062" s="81">
        <f>IF(Data!M1062="CD",0,1)</f>
        <v>1</v>
      </c>
      <c r="Q1062" s="81">
        <f>IF(Data!Q1062&gt;Data!P1062,DATEDIF(Data!P1062,Data!Q1062,"d"),0)</f>
        <v>0</v>
      </c>
      <c r="R1062" s="81">
        <f>IF(Data!R1062&gt;Data!Q1062,DATEDIF(Data!Q1062,Data!R1062,"d"),0)</f>
        <v>0</v>
      </c>
    </row>
    <row r="1063" spans="3:18" x14ac:dyDescent="0.2">
      <c r="C1063" s="80">
        <f t="shared" ca="1" si="34"/>
        <v>45959</v>
      </c>
      <c r="D1063" s="81">
        <f>IF(Data!I1063&lt;&gt;"",DATEDIF(Data!I1063,C1063,"m"),0)</f>
        <v>0</v>
      </c>
      <c r="E1063" s="82">
        <f t="shared" si="35"/>
        <v>0</v>
      </c>
      <c r="I1063" s="81" t="str">
        <f>CONCATENATE(Data!M1063,"-",Data!L1063)</f>
        <v>-</v>
      </c>
      <c r="N1063" s="81">
        <f>IF(Data!P1063,DATEDIF(Data!O1063,Data!P1063,"d"),0)</f>
        <v>0</v>
      </c>
      <c r="O1063" s="81">
        <f>IF(Data!M1063="CD",1,0)</f>
        <v>0</v>
      </c>
      <c r="P1063" s="81">
        <f>IF(Data!M1063="CD",0,1)</f>
        <v>1</v>
      </c>
      <c r="Q1063" s="81">
        <f>IF(Data!Q1063&gt;Data!P1063,DATEDIF(Data!P1063,Data!Q1063,"d"),0)</f>
        <v>0</v>
      </c>
      <c r="R1063" s="81">
        <f>IF(Data!R1063&gt;Data!Q1063,DATEDIF(Data!Q1063,Data!R1063,"d"),0)</f>
        <v>0</v>
      </c>
    </row>
    <row r="1064" spans="3:18" x14ac:dyDescent="0.2">
      <c r="C1064" s="80">
        <f t="shared" ca="1" si="34"/>
        <v>45959</v>
      </c>
      <c r="D1064" s="81">
        <f>IF(Data!I1064&lt;&gt;"",DATEDIF(Data!I1064,C1064,"m"),0)</f>
        <v>0</v>
      </c>
      <c r="E1064" s="82">
        <f t="shared" si="35"/>
        <v>0</v>
      </c>
      <c r="I1064" s="81" t="str">
        <f>CONCATENATE(Data!M1064,"-",Data!L1064)</f>
        <v>-</v>
      </c>
      <c r="N1064" s="81">
        <f>IF(Data!P1064,DATEDIF(Data!O1064,Data!P1064,"d"),0)</f>
        <v>0</v>
      </c>
      <c r="O1064" s="81">
        <f>IF(Data!M1064="CD",1,0)</f>
        <v>0</v>
      </c>
      <c r="P1064" s="81">
        <f>IF(Data!M1064="CD",0,1)</f>
        <v>1</v>
      </c>
      <c r="Q1064" s="81">
        <f>IF(Data!Q1064&gt;Data!P1064,DATEDIF(Data!P1064,Data!Q1064,"d"),0)</f>
        <v>0</v>
      </c>
      <c r="R1064" s="81">
        <f>IF(Data!R1064&gt;Data!Q1064,DATEDIF(Data!Q1064,Data!R1064,"d"),0)</f>
        <v>0</v>
      </c>
    </row>
    <row r="1065" spans="3:18" x14ac:dyDescent="0.2">
      <c r="C1065" s="80">
        <f t="shared" ca="1" si="34"/>
        <v>45959</v>
      </c>
      <c r="D1065" s="81">
        <f>IF(Data!I1065&lt;&gt;"",DATEDIF(Data!I1065,C1065,"m"),0)</f>
        <v>0</v>
      </c>
      <c r="E1065" s="82">
        <f t="shared" si="35"/>
        <v>0</v>
      </c>
      <c r="I1065" s="81" t="str">
        <f>CONCATENATE(Data!M1065,"-",Data!L1065)</f>
        <v>-</v>
      </c>
      <c r="N1065" s="81">
        <f>IF(Data!P1065,DATEDIF(Data!O1065,Data!P1065,"d"),0)</f>
        <v>0</v>
      </c>
      <c r="O1065" s="81">
        <f>IF(Data!M1065="CD",1,0)</f>
        <v>0</v>
      </c>
      <c r="P1065" s="81">
        <f>IF(Data!M1065="CD",0,1)</f>
        <v>1</v>
      </c>
      <c r="Q1065" s="81">
        <f>IF(Data!Q1065&gt;Data!P1065,DATEDIF(Data!P1065,Data!Q1065,"d"),0)</f>
        <v>0</v>
      </c>
      <c r="R1065" s="81">
        <f>IF(Data!R1065&gt;Data!Q1065,DATEDIF(Data!Q1065,Data!R1065,"d"),0)</f>
        <v>0</v>
      </c>
    </row>
    <row r="1066" spans="3:18" x14ac:dyDescent="0.2">
      <c r="C1066" s="80">
        <f t="shared" ca="1" si="34"/>
        <v>45959</v>
      </c>
      <c r="D1066" s="81">
        <f>IF(Data!I1066&lt;&gt;"",DATEDIF(Data!I1066,C1066,"m"),0)</f>
        <v>0</v>
      </c>
      <c r="E1066" s="82">
        <f t="shared" si="35"/>
        <v>0</v>
      </c>
      <c r="I1066" s="81" t="str">
        <f>CONCATENATE(Data!M1066,"-",Data!L1066)</f>
        <v>-</v>
      </c>
      <c r="N1066" s="81">
        <f>IF(Data!P1066,DATEDIF(Data!O1066,Data!P1066,"d"),0)</f>
        <v>0</v>
      </c>
      <c r="O1066" s="81">
        <f>IF(Data!M1066="CD",1,0)</f>
        <v>0</v>
      </c>
      <c r="P1066" s="81">
        <f>IF(Data!M1066="CD",0,1)</f>
        <v>1</v>
      </c>
      <c r="Q1066" s="81">
        <f>IF(Data!Q1066&gt;Data!P1066,DATEDIF(Data!P1066,Data!Q1066,"d"),0)</f>
        <v>0</v>
      </c>
      <c r="R1066" s="81">
        <f>IF(Data!R1066&gt;Data!Q1066,DATEDIF(Data!Q1066,Data!R1066,"d"),0)</f>
        <v>0</v>
      </c>
    </row>
    <row r="1067" spans="3:18" x14ac:dyDescent="0.2">
      <c r="C1067" s="80">
        <f t="shared" ca="1" si="34"/>
        <v>45959</v>
      </c>
      <c r="D1067" s="81">
        <f>IF(Data!I1067&lt;&gt;"",DATEDIF(Data!I1067,C1067,"m"),0)</f>
        <v>0</v>
      </c>
      <c r="E1067" s="82">
        <f t="shared" si="35"/>
        <v>0</v>
      </c>
      <c r="I1067" s="81" t="str">
        <f>CONCATENATE(Data!M1067,"-",Data!L1067)</f>
        <v>-</v>
      </c>
      <c r="N1067" s="81">
        <f>IF(Data!P1067,DATEDIF(Data!O1067,Data!P1067,"d"),0)</f>
        <v>0</v>
      </c>
      <c r="O1067" s="81">
        <f>IF(Data!M1067="CD",1,0)</f>
        <v>0</v>
      </c>
      <c r="P1067" s="81">
        <f>IF(Data!M1067="CD",0,1)</f>
        <v>1</v>
      </c>
      <c r="Q1067" s="81">
        <f>IF(Data!Q1067&gt;Data!P1067,DATEDIF(Data!P1067,Data!Q1067,"d"),0)</f>
        <v>0</v>
      </c>
      <c r="R1067" s="81">
        <f>IF(Data!R1067&gt;Data!Q1067,DATEDIF(Data!Q1067,Data!R1067,"d"),0)</f>
        <v>0</v>
      </c>
    </row>
    <row r="1068" spans="3:18" x14ac:dyDescent="0.2">
      <c r="C1068" s="80">
        <f t="shared" ca="1" si="34"/>
        <v>45959</v>
      </c>
      <c r="D1068" s="81">
        <f>IF(Data!I1068&lt;&gt;"",DATEDIF(Data!I1068,C1068,"m"),0)</f>
        <v>0</v>
      </c>
      <c r="E1068" s="82">
        <f t="shared" si="35"/>
        <v>0</v>
      </c>
      <c r="I1068" s="81" t="str">
        <f>CONCATENATE(Data!M1068,"-",Data!L1068)</f>
        <v>-</v>
      </c>
      <c r="N1068" s="81">
        <f>IF(Data!P1068,DATEDIF(Data!O1068,Data!P1068,"d"),0)</f>
        <v>0</v>
      </c>
      <c r="O1068" s="81">
        <f>IF(Data!M1068="CD",1,0)</f>
        <v>0</v>
      </c>
      <c r="P1068" s="81">
        <f>IF(Data!M1068="CD",0,1)</f>
        <v>1</v>
      </c>
      <c r="Q1068" s="81">
        <f>IF(Data!Q1068&gt;Data!P1068,DATEDIF(Data!P1068,Data!Q1068,"d"),0)</f>
        <v>0</v>
      </c>
      <c r="R1068" s="81">
        <f>IF(Data!R1068&gt;Data!Q1068,DATEDIF(Data!Q1068,Data!R1068,"d"),0)</f>
        <v>0</v>
      </c>
    </row>
    <row r="1069" spans="3:18" x14ac:dyDescent="0.2">
      <c r="C1069" s="80">
        <f t="shared" ca="1" si="34"/>
        <v>45959</v>
      </c>
      <c r="D1069" s="81">
        <f>IF(Data!I1069&lt;&gt;"",DATEDIF(Data!I1069,C1069,"m"),0)</f>
        <v>0</v>
      </c>
      <c r="E1069" s="82">
        <f t="shared" si="35"/>
        <v>0</v>
      </c>
      <c r="I1069" s="81" t="str">
        <f>CONCATENATE(Data!M1069,"-",Data!L1069)</f>
        <v>-</v>
      </c>
      <c r="N1069" s="81">
        <f>IF(Data!P1069,DATEDIF(Data!O1069,Data!P1069,"d"),0)</f>
        <v>0</v>
      </c>
      <c r="O1069" s="81">
        <f>IF(Data!M1069="CD",1,0)</f>
        <v>0</v>
      </c>
      <c r="P1069" s="81">
        <f>IF(Data!M1069="CD",0,1)</f>
        <v>1</v>
      </c>
      <c r="Q1069" s="81">
        <f>IF(Data!Q1069&gt;Data!P1069,DATEDIF(Data!P1069,Data!Q1069,"d"),0)</f>
        <v>0</v>
      </c>
      <c r="R1069" s="81">
        <f>IF(Data!R1069&gt;Data!Q1069,DATEDIF(Data!Q1069,Data!R1069,"d"),0)</f>
        <v>0</v>
      </c>
    </row>
    <row r="1070" spans="3:18" x14ac:dyDescent="0.2">
      <c r="C1070" s="80">
        <f t="shared" ca="1" si="34"/>
        <v>45959</v>
      </c>
      <c r="D1070" s="81">
        <f>IF(Data!I1070&lt;&gt;"",DATEDIF(Data!I1070,C1070,"m"),0)</f>
        <v>0</v>
      </c>
      <c r="E1070" s="82">
        <f t="shared" si="35"/>
        <v>0</v>
      </c>
      <c r="I1070" s="81" t="str">
        <f>CONCATENATE(Data!M1070,"-",Data!L1070)</f>
        <v>-</v>
      </c>
      <c r="N1070" s="81">
        <f>IF(Data!P1070,DATEDIF(Data!O1070,Data!P1070,"d"),0)</f>
        <v>0</v>
      </c>
      <c r="O1070" s="81">
        <f>IF(Data!M1070="CD",1,0)</f>
        <v>0</v>
      </c>
      <c r="P1070" s="81">
        <f>IF(Data!M1070="CD",0,1)</f>
        <v>1</v>
      </c>
      <c r="Q1070" s="81">
        <f>IF(Data!Q1070&gt;Data!P1070,DATEDIF(Data!P1070,Data!Q1070,"d"),0)</f>
        <v>0</v>
      </c>
      <c r="R1070" s="81">
        <f>IF(Data!R1070&gt;Data!Q1070,DATEDIF(Data!Q1070,Data!R1070,"d"),0)</f>
        <v>0</v>
      </c>
    </row>
    <row r="1071" spans="3:18" x14ac:dyDescent="0.2">
      <c r="C1071" s="80">
        <f t="shared" ca="1" si="34"/>
        <v>45959</v>
      </c>
      <c r="D1071" s="81">
        <f>IF(Data!I1071&lt;&gt;"",DATEDIF(Data!I1071,C1071,"m"),0)</f>
        <v>0</v>
      </c>
      <c r="E1071" s="82">
        <f t="shared" si="35"/>
        <v>0</v>
      </c>
      <c r="I1071" s="81" t="str">
        <f>CONCATENATE(Data!M1071,"-",Data!L1071)</f>
        <v>-</v>
      </c>
      <c r="N1071" s="81">
        <f>IF(Data!P1071,DATEDIF(Data!O1071,Data!P1071,"d"),0)</f>
        <v>0</v>
      </c>
      <c r="O1071" s="81">
        <f>IF(Data!M1071="CD",1,0)</f>
        <v>0</v>
      </c>
      <c r="P1071" s="81">
        <f>IF(Data!M1071="CD",0,1)</f>
        <v>1</v>
      </c>
      <c r="Q1071" s="81">
        <f>IF(Data!Q1071&gt;Data!P1071,DATEDIF(Data!P1071,Data!Q1071,"d"),0)</f>
        <v>0</v>
      </c>
      <c r="R1071" s="81">
        <f>IF(Data!R1071&gt;Data!Q1071,DATEDIF(Data!Q1071,Data!R1071,"d"),0)</f>
        <v>0</v>
      </c>
    </row>
    <row r="1072" spans="3:18" x14ac:dyDescent="0.2">
      <c r="C1072" s="80">
        <f t="shared" ca="1" si="34"/>
        <v>45959</v>
      </c>
      <c r="D1072" s="81">
        <f>IF(Data!I1072&lt;&gt;"",DATEDIF(Data!I1072,C1072,"m"),0)</f>
        <v>0</v>
      </c>
      <c r="E1072" s="82">
        <f t="shared" si="35"/>
        <v>0</v>
      </c>
      <c r="I1072" s="81" t="str">
        <f>CONCATENATE(Data!M1072,"-",Data!L1072)</f>
        <v>-</v>
      </c>
      <c r="N1072" s="81">
        <f>IF(Data!P1072,DATEDIF(Data!O1072,Data!P1072,"d"),0)</f>
        <v>0</v>
      </c>
      <c r="O1072" s="81">
        <f>IF(Data!M1072="CD",1,0)</f>
        <v>0</v>
      </c>
      <c r="P1072" s="81">
        <f>IF(Data!M1072="CD",0,1)</f>
        <v>1</v>
      </c>
      <c r="Q1072" s="81">
        <f>IF(Data!Q1072&gt;Data!P1072,DATEDIF(Data!P1072,Data!Q1072,"d"),0)</f>
        <v>0</v>
      </c>
      <c r="R1072" s="81">
        <f>IF(Data!R1072&gt;Data!Q1072,DATEDIF(Data!Q1072,Data!R1072,"d"),0)</f>
        <v>0</v>
      </c>
    </row>
    <row r="1073" spans="3:18" x14ac:dyDescent="0.2">
      <c r="C1073" s="80">
        <f t="shared" ca="1" si="34"/>
        <v>45959</v>
      </c>
      <c r="D1073" s="81">
        <f>IF(Data!I1073&lt;&gt;"",DATEDIF(Data!I1073,C1073,"m"),0)</f>
        <v>0</v>
      </c>
      <c r="E1073" s="82">
        <f t="shared" si="35"/>
        <v>0</v>
      </c>
      <c r="I1073" s="81" t="str">
        <f>CONCATENATE(Data!M1073,"-",Data!L1073)</f>
        <v>-</v>
      </c>
      <c r="N1073" s="81">
        <f>IF(Data!P1073,DATEDIF(Data!O1073,Data!P1073,"d"),0)</f>
        <v>0</v>
      </c>
      <c r="O1073" s="81">
        <f>IF(Data!M1073="CD",1,0)</f>
        <v>0</v>
      </c>
      <c r="P1073" s="81">
        <f>IF(Data!M1073="CD",0,1)</f>
        <v>1</v>
      </c>
      <c r="Q1073" s="81">
        <f>IF(Data!Q1073&gt;Data!P1073,DATEDIF(Data!P1073,Data!Q1073,"d"),0)</f>
        <v>0</v>
      </c>
      <c r="R1073" s="81">
        <f>IF(Data!R1073&gt;Data!Q1073,DATEDIF(Data!Q1073,Data!R1073,"d"),0)</f>
        <v>0</v>
      </c>
    </row>
    <row r="1074" spans="3:18" x14ac:dyDescent="0.2">
      <c r="C1074" s="80">
        <f t="shared" ca="1" si="34"/>
        <v>45959</v>
      </c>
      <c r="D1074" s="81">
        <f>IF(Data!I1074&lt;&gt;"",DATEDIF(Data!I1074,C1074,"m"),0)</f>
        <v>0</v>
      </c>
      <c r="E1074" s="82">
        <f t="shared" si="35"/>
        <v>0</v>
      </c>
      <c r="I1074" s="81" t="str">
        <f>CONCATENATE(Data!M1074,"-",Data!L1074)</f>
        <v>-</v>
      </c>
      <c r="N1074" s="81">
        <f>IF(Data!P1074,DATEDIF(Data!O1074,Data!P1074,"d"),0)</f>
        <v>0</v>
      </c>
      <c r="O1074" s="81">
        <f>IF(Data!M1074="CD",1,0)</f>
        <v>0</v>
      </c>
      <c r="P1074" s="81">
        <f>IF(Data!M1074="CD",0,1)</f>
        <v>1</v>
      </c>
      <c r="Q1074" s="81">
        <f>IF(Data!Q1074&gt;Data!P1074,DATEDIF(Data!P1074,Data!Q1074,"d"),0)</f>
        <v>0</v>
      </c>
      <c r="R1074" s="81">
        <f>IF(Data!R1074&gt;Data!Q1074,DATEDIF(Data!Q1074,Data!R1074,"d"),0)</f>
        <v>0</v>
      </c>
    </row>
    <row r="1075" spans="3:18" x14ac:dyDescent="0.2">
      <c r="C1075" s="80">
        <f t="shared" ca="1" si="34"/>
        <v>45959</v>
      </c>
      <c r="D1075" s="81">
        <f>IF(Data!I1075&lt;&gt;"",DATEDIF(Data!I1075,C1075,"m"),0)</f>
        <v>0</v>
      </c>
      <c r="E1075" s="82">
        <f t="shared" si="35"/>
        <v>0</v>
      </c>
      <c r="I1075" s="81" t="str">
        <f>CONCATENATE(Data!M1075,"-",Data!L1075)</f>
        <v>-</v>
      </c>
      <c r="N1075" s="81">
        <f>IF(Data!P1075,DATEDIF(Data!O1075,Data!P1075,"d"),0)</f>
        <v>0</v>
      </c>
      <c r="O1075" s="81">
        <f>IF(Data!M1075="CD",1,0)</f>
        <v>0</v>
      </c>
      <c r="P1075" s="81">
        <f>IF(Data!M1075="CD",0,1)</f>
        <v>1</v>
      </c>
      <c r="Q1075" s="81">
        <f>IF(Data!Q1075&gt;Data!P1075,DATEDIF(Data!P1075,Data!Q1075,"d"),0)</f>
        <v>0</v>
      </c>
      <c r="R1075" s="81">
        <f>IF(Data!R1075&gt;Data!Q1075,DATEDIF(Data!Q1075,Data!R1075,"d"),0)</f>
        <v>0</v>
      </c>
    </row>
    <row r="1076" spans="3:18" x14ac:dyDescent="0.2">
      <c r="C1076" s="80">
        <f t="shared" ca="1" si="34"/>
        <v>45959</v>
      </c>
      <c r="D1076" s="81">
        <f>IF(Data!I1076&lt;&gt;"",DATEDIF(Data!I1076,C1076,"m"),0)</f>
        <v>0</v>
      </c>
      <c r="E1076" s="82">
        <f t="shared" si="35"/>
        <v>0</v>
      </c>
      <c r="I1076" s="81" t="str">
        <f>CONCATENATE(Data!M1076,"-",Data!L1076)</f>
        <v>-</v>
      </c>
      <c r="N1076" s="81">
        <f>IF(Data!P1076,DATEDIF(Data!O1076,Data!P1076,"d"),0)</f>
        <v>0</v>
      </c>
      <c r="O1076" s="81">
        <f>IF(Data!M1076="CD",1,0)</f>
        <v>0</v>
      </c>
      <c r="P1076" s="81">
        <f>IF(Data!M1076="CD",0,1)</f>
        <v>1</v>
      </c>
      <c r="Q1076" s="81">
        <f>IF(Data!Q1076&gt;Data!P1076,DATEDIF(Data!P1076,Data!Q1076,"d"),0)</f>
        <v>0</v>
      </c>
      <c r="R1076" s="81">
        <f>IF(Data!R1076&gt;Data!Q1076,DATEDIF(Data!Q1076,Data!R1076,"d"),0)</f>
        <v>0</v>
      </c>
    </row>
    <row r="1077" spans="3:18" x14ac:dyDescent="0.2">
      <c r="C1077" s="80">
        <f t="shared" ca="1" si="34"/>
        <v>45959</v>
      </c>
      <c r="D1077" s="81">
        <f>IF(Data!I1077&lt;&gt;"",DATEDIF(Data!I1077,C1077,"m"),0)</f>
        <v>0</v>
      </c>
      <c r="E1077" s="82">
        <f t="shared" si="35"/>
        <v>0</v>
      </c>
      <c r="I1077" s="81" t="str">
        <f>CONCATENATE(Data!M1077,"-",Data!L1077)</f>
        <v>-</v>
      </c>
      <c r="N1077" s="81">
        <f>IF(Data!P1077,DATEDIF(Data!O1077,Data!P1077,"d"),0)</f>
        <v>0</v>
      </c>
      <c r="O1077" s="81">
        <f>IF(Data!M1077="CD",1,0)</f>
        <v>0</v>
      </c>
      <c r="P1077" s="81">
        <f>IF(Data!M1077="CD",0,1)</f>
        <v>1</v>
      </c>
      <c r="Q1077" s="81">
        <f>IF(Data!Q1077&gt;Data!P1077,DATEDIF(Data!P1077,Data!Q1077,"d"),0)</f>
        <v>0</v>
      </c>
      <c r="R1077" s="81">
        <f>IF(Data!R1077&gt;Data!Q1077,DATEDIF(Data!Q1077,Data!R1077,"d"),0)</f>
        <v>0</v>
      </c>
    </row>
    <row r="1078" spans="3:18" x14ac:dyDescent="0.2">
      <c r="C1078" s="80">
        <f t="shared" ca="1" si="34"/>
        <v>45959</v>
      </c>
      <c r="D1078" s="81">
        <f>IF(Data!I1078&lt;&gt;"",DATEDIF(Data!I1078,C1078,"m"),0)</f>
        <v>0</v>
      </c>
      <c r="E1078" s="82">
        <f t="shared" si="35"/>
        <v>0</v>
      </c>
      <c r="I1078" s="81" t="str">
        <f>CONCATENATE(Data!M1078,"-",Data!L1078)</f>
        <v>-</v>
      </c>
      <c r="N1078" s="81">
        <f>IF(Data!P1078,DATEDIF(Data!O1078,Data!P1078,"d"),0)</f>
        <v>0</v>
      </c>
      <c r="O1078" s="81">
        <f>IF(Data!M1078="CD",1,0)</f>
        <v>0</v>
      </c>
      <c r="P1078" s="81">
        <f>IF(Data!M1078="CD",0,1)</f>
        <v>1</v>
      </c>
      <c r="Q1078" s="81">
        <f>IF(Data!Q1078&gt;Data!P1078,DATEDIF(Data!P1078,Data!Q1078,"d"),0)</f>
        <v>0</v>
      </c>
      <c r="R1078" s="81">
        <f>IF(Data!R1078&gt;Data!Q1078,DATEDIF(Data!Q1078,Data!R1078,"d"),0)</f>
        <v>0</v>
      </c>
    </row>
    <row r="1079" spans="3:18" x14ac:dyDescent="0.2">
      <c r="C1079" s="80">
        <f t="shared" ca="1" si="34"/>
        <v>45959</v>
      </c>
      <c r="D1079" s="81">
        <f>IF(Data!I1079&lt;&gt;"",DATEDIF(Data!I1079,C1079,"m"),0)</f>
        <v>0</v>
      </c>
      <c r="E1079" s="82">
        <f t="shared" si="35"/>
        <v>0</v>
      </c>
      <c r="I1079" s="81" t="str">
        <f>CONCATENATE(Data!M1079,"-",Data!L1079)</f>
        <v>-</v>
      </c>
      <c r="N1079" s="81">
        <f>IF(Data!P1079,DATEDIF(Data!O1079,Data!P1079,"d"),0)</f>
        <v>0</v>
      </c>
      <c r="O1079" s="81">
        <f>IF(Data!M1079="CD",1,0)</f>
        <v>0</v>
      </c>
      <c r="P1079" s="81">
        <f>IF(Data!M1079="CD",0,1)</f>
        <v>1</v>
      </c>
      <c r="Q1079" s="81">
        <f>IF(Data!Q1079&gt;Data!P1079,DATEDIF(Data!P1079,Data!Q1079,"d"),0)</f>
        <v>0</v>
      </c>
      <c r="R1079" s="81">
        <f>IF(Data!R1079&gt;Data!Q1079,DATEDIF(Data!Q1079,Data!R1079,"d"),0)</f>
        <v>0</v>
      </c>
    </row>
    <row r="1080" spans="3:18" x14ac:dyDescent="0.2">
      <c r="C1080" s="80">
        <f t="shared" ca="1" si="34"/>
        <v>45959</v>
      </c>
      <c r="D1080" s="81">
        <f>IF(Data!I1080&lt;&gt;"",DATEDIF(Data!I1080,C1080,"m"),0)</f>
        <v>0</v>
      </c>
      <c r="E1080" s="82">
        <f t="shared" si="35"/>
        <v>0</v>
      </c>
      <c r="I1080" s="81" t="str">
        <f>CONCATENATE(Data!M1080,"-",Data!L1080)</f>
        <v>-</v>
      </c>
      <c r="N1080" s="81">
        <f>IF(Data!P1080,DATEDIF(Data!O1080,Data!P1080,"d"),0)</f>
        <v>0</v>
      </c>
      <c r="O1080" s="81">
        <f>IF(Data!M1080="CD",1,0)</f>
        <v>0</v>
      </c>
      <c r="P1080" s="81">
        <f>IF(Data!M1080="CD",0,1)</f>
        <v>1</v>
      </c>
      <c r="Q1080" s="81">
        <f>IF(Data!Q1080&gt;Data!P1080,DATEDIF(Data!P1080,Data!Q1080,"d"),0)</f>
        <v>0</v>
      </c>
      <c r="R1080" s="81">
        <f>IF(Data!R1080&gt;Data!Q1080,DATEDIF(Data!Q1080,Data!R1080,"d"),0)</f>
        <v>0</v>
      </c>
    </row>
    <row r="1081" spans="3:18" x14ac:dyDescent="0.2">
      <c r="C1081" s="80">
        <f t="shared" ca="1" si="34"/>
        <v>45959</v>
      </c>
      <c r="D1081" s="81">
        <f>IF(Data!I1081&lt;&gt;"",DATEDIF(Data!I1081,C1081,"m"),0)</f>
        <v>0</v>
      </c>
      <c r="E1081" s="82">
        <f t="shared" si="35"/>
        <v>0</v>
      </c>
      <c r="I1081" s="81" t="str">
        <f>CONCATENATE(Data!M1081,"-",Data!L1081)</f>
        <v>-</v>
      </c>
      <c r="N1081" s="81">
        <f>IF(Data!P1081,DATEDIF(Data!O1081,Data!P1081,"d"),0)</f>
        <v>0</v>
      </c>
      <c r="O1081" s="81">
        <f>IF(Data!M1081="CD",1,0)</f>
        <v>0</v>
      </c>
      <c r="P1081" s="81">
        <f>IF(Data!M1081="CD",0,1)</f>
        <v>1</v>
      </c>
      <c r="Q1081" s="81">
        <f>IF(Data!Q1081&gt;Data!P1081,DATEDIF(Data!P1081,Data!Q1081,"d"),0)</f>
        <v>0</v>
      </c>
      <c r="R1081" s="81">
        <f>IF(Data!R1081&gt;Data!Q1081,DATEDIF(Data!Q1081,Data!R1081,"d"),0)</f>
        <v>0</v>
      </c>
    </row>
    <row r="1082" spans="3:18" x14ac:dyDescent="0.2">
      <c r="C1082" s="80">
        <f t="shared" ca="1" si="34"/>
        <v>45959</v>
      </c>
      <c r="D1082" s="81">
        <f>IF(Data!I1082&lt;&gt;"",DATEDIF(Data!I1082,C1082,"m"),0)</f>
        <v>0</v>
      </c>
      <c r="E1082" s="82">
        <f t="shared" si="35"/>
        <v>0</v>
      </c>
      <c r="I1082" s="81" t="str">
        <f>CONCATENATE(Data!M1082,"-",Data!L1082)</f>
        <v>-</v>
      </c>
      <c r="N1082" s="81">
        <f>IF(Data!P1082,DATEDIF(Data!O1082,Data!P1082,"d"),0)</f>
        <v>0</v>
      </c>
      <c r="O1082" s="81">
        <f>IF(Data!M1082="CD",1,0)</f>
        <v>0</v>
      </c>
      <c r="P1082" s="81">
        <f>IF(Data!M1082="CD",0,1)</f>
        <v>1</v>
      </c>
      <c r="Q1082" s="81">
        <f>IF(Data!Q1082&gt;Data!P1082,DATEDIF(Data!P1082,Data!Q1082,"d"),0)</f>
        <v>0</v>
      </c>
      <c r="R1082" s="81">
        <f>IF(Data!R1082&gt;Data!Q1082,DATEDIF(Data!Q1082,Data!R1082,"d"),0)</f>
        <v>0</v>
      </c>
    </row>
    <row r="1083" spans="3:18" x14ac:dyDescent="0.2">
      <c r="C1083" s="80">
        <f t="shared" ca="1" si="34"/>
        <v>45959</v>
      </c>
      <c r="D1083" s="81">
        <f>IF(Data!I1083&lt;&gt;"",DATEDIF(Data!I1083,C1083,"m"),0)</f>
        <v>0</v>
      </c>
      <c r="E1083" s="82">
        <f t="shared" si="35"/>
        <v>0</v>
      </c>
      <c r="I1083" s="81" t="str">
        <f>CONCATENATE(Data!M1083,"-",Data!L1083)</f>
        <v>-</v>
      </c>
      <c r="N1083" s="81">
        <f>IF(Data!P1083,DATEDIF(Data!O1083,Data!P1083,"d"),0)</f>
        <v>0</v>
      </c>
      <c r="O1083" s="81">
        <f>IF(Data!M1083="CD",1,0)</f>
        <v>0</v>
      </c>
      <c r="P1083" s="81">
        <f>IF(Data!M1083="CD",0,1)</f>
        <v>1</v>
      </c>
      <c r="Q1083" s="81">
        <f>IF(Data!Q1083&gt;Data!P1083,DATEDIF(Data!P1083,Data!Q1083,"d"),0)</f>
        <v>0</v>
      </c>
      <c r="R1083" s="81">
        <f>IF(Data!R1083&gt;Data!Q1083,DATEDIF(Data!Q1083,Data!R1083,"d"),0)</f>
        <v>0</v>
      </c>
    </row>
    <row r="1084" spans="3:18" x14ac:dyDescent="0.2">
      <c r="C1084" s="80">
        <f t="shared" ca="1" si="34"/>
        <v>45959</v>
      </c>
      <c r="D1084" s="81">
        <f>IF(Data!I1084&lt;&gt;"",DATEDIF(Data!I1084,C1084,"m"),0)</f>
        <v>0</v>
      </c>
      <c r="E1084" s="82">
        <f t="shared" si="35"/>
        <v>0</v>
      </c>
      <c r="I1084" s="81" t="str">
        <f>CONCATENATE(Data!M1084,"-",Data!L1084)</f>
        <v>-</v>
      </c>
      <c r="N1084" s="81">
        <f>IF(Data!P1084,DATEDIF(Data!O1084,Data!P1084,"d"),0)</f>
        <v>0</v>
      </c>
      <c r="O1084" s="81">
        <f>IF(Data!M1084="CD",1,0)</f>
        <v>0</v>
      </c>
      <c r="P1084" s="81">
        <f>IF(Data!M1084="CD",0,1)</f>
        <v>1</v>
      </c>
      <c r="Q1084" s="81">
        <f>IF(Data!Q1084&gt;Data!P1084,DATEDIF(Data!P1084,Data!Q1084,"d"),0)</f>
        <v>0</v>
      </c>
      <c r="R1084" s="81">
        <f>IF(Data!R1084&gt;Data!Q1084,DATEDIF(Data!Q1084,Data!R1084,"d"),0)</f>
        <v>0</v>
      </c>
    </row>
    <row r="1085" spans="3:18" x14ac:dyDescent="0.2">
      <c r="C1085" s="80">
        <f t="shared" ca="1" si="34"/>
        <v>45959</v>
      </c>
      <c r="D1085" s="81">
        <f>IF(Data!I1085&lt;&gt;"",DATEDIF(Data!I1085,C1085,"m"),0)</f>
        <v>0</v>
      </c>
      <c r="E1085" s="82">
        <f t="shared" si="35"/>
        <v>0</v>
      </c>
      <c r="I1085" s="81" t="str">
        <f>CONCATENATE(Data!M1085,"-",Data!L1085)</f>
        <v>-</v>
      </c>
      <c r="N1085" s="81">
        <f>IF(Data!P1085,DATEDIF(Data!O1085,Data!P1085,"d"),0)</f>
        <v>0</v>
      </c>
      <c r="O1085" s="81">
        <f>IF(Data!M1085="CD",1,0)</f>
        <v>0</v>
      </c>
      <c r="P1085" s="81">
        <f>IF(Data!M1085="CD",0,1)</f>
        <v>1</v>
      </c>
      <c r="Q1085" s="81">
        <f>IF(Data!Q1085&gt;Data!P1085,DATEDIF(Data!P1085,Data!Q1085,"d"),0)</f>
        <v>0</v>
      </c>
      <c r="R1085" s="81">
        <f>IF(Data!R1085&gt;Data!Q1085,DATEDIF(Data!Q1085,Data!R1085,"d"),0)</f>
        <v>0</v>
      </c>
    </row>
    <row r="1086" spans="3:18" x14ac:dyDescent="0.2">
      <c r="C1086" s="80">
        <f t="shared" ca="1" si="34"/>
        <v>45959</v>
      </c>
      <c r="D1086" s="81">
        <f>IF(Data!I1086&lt;&gt;"",DATEDIF(Data!I1086,C1086,"m"),0)</f>
        <v>0</v>
      </c>
      <c r="E1086" s="82">
        <f t="shared" si="35"/>
        <v>0</v>
      </c>
      <c r="I1086" s="81" t="str">
        <f>CONCATENATE(Data!M1086,"-",Data!L1086)</f>
        <v>-</v>
      </c>
      <c r="N1086" s="81">
        <f>IF(Data!P1086,DATEDIF(Data!O1086,Data!P1086,"d"),0)</f>
        <v>0</v>
      </c>
      <c r="O1086" s="81">
        <f>IF(Data!M1086="CD",1,0)</f>
        <v>0</v>
      </c>
      <c r="P1086" s="81">
        <f>IF(Data!M1086="CD",0,1)</f>
        <v>1</v>
      </c>
      <c r="Q1086" s="81">
        <f>IF(Data!Q1086&gt;Data!P1086,DATEDIF(Data!P1086,Data!Q1086,"d"),0)</f>
        <v>0</v>
      </c>
      <c r="R1086" s="81">
        <f>IF(Data!R1086&gt;Data!Q1086,DATEDIF(Data!Q1086,Data!R1086,"d"),0)</f>
        <v>0</v>
      </c>
    </row>
    <row r="1087" spans="3:18" x14ac:dyDescent="0.2">
      <c r="C1087" s="80">
        <f t="shared" ca="1" si="34"/>
        <v>45959</v>
      </c>
      <c r="D1087" s="81">
        <f>IF(Data!I1087&lt;&gt;"",DATEDIF(Data!I1087,C1087,"m"),0)</f>
        <v>0</v>
      </c>
      <c r="E1087" s="82">
        <f t="shared" si="35"/>
        <v>0</v>
      </c>
      <c r="I1087" s="81" t="str">
        <f>CONCATENATE(Data!M1087,"-",Data!L1087)</f>
        <v>-</v>
      </c>
      <c r="N1087" s="81">
        <f>IF(Data!P1087,DATEDIF(Data!O1087,Data!P1087,"d"),0)</f>
        <v>0</v>
      </c>
      <c r="O1087" s="81">
        <f>IF(Data!M1087="CD",1,0)</f>
        <v>0</v>
      </c>
      <c r="P1087" s="81">
        <f>IF(Data!M1087="CD",0,1)</f>
        <v>1</v>
      </c>
      <c r="Q1087" s="81">
        <f>IF(Data!Q1087&gt;Data!P1087,DATEDIF(Data!P1087,Data!Q1087,"d"),0)</f>
        <v>0</v>
      </c>
      <c r="R1087" s="81">
        <f>IF(Data!R1087&gt;Data!Q1087,DATEDIF(Data!Q1087,Data!R1087,"d"),0)</f>
        <v>0</v>
      </c>
    </row>
    <row r="1088" spans="3:18" x14ac:dyDescent="0.2">
      <c r="C1088" s="80">
        <f t="shared" ca="1" si="34"/>
        <v>45959</v>
      </c>
      <c r="D1088" s="81">
        <f>IF(Data!I1088&lt;&gt;"",DATEDIF(Data!I1088,C1088,"m"),0)</f>
        <v>0</v>
      </c>
      <c r="E1088" s="82">
        <f t="shared" si="35"/>
        <v>0</v>
      </c>
      <c r="I1088" s="81" t="str">
        <f>CONCATENATE(Data!M1088,"-",Data!L1088)</f>
        <v>-</v>
      </c>
      <c r="N1088" s="81">
        <f>IF(Data!P1088,DATEDIF(Data!O1088,Data!P1088,"d"),0)</f>
        <v>0</v>
      </c>
      <c r="O1088" s="81">
        <f>IF(Data!M1088="CD",1,0)</f>
        <v>0</v>
      </c>
      <c r="P1088" s="81">
        <f>IF(Data!M1088="CD",0,1)</f>
        <v>1</v>
      </c>
      <c r="Q1088" s="81">
        <f>IF(Data!Q1088&gt;Data!P1088,DATEDIF(Data!P1088,Data!Q1088,"d"),0)</f>
        <v>0</v>
      </c>
      <c r="R1088" s="81">
        <f>IF(Data!R1088&gt;Data!Q1088,DATEDIF(Data!Q1088,Data!R1088,"d"),0)</f>
        <v>0</v>
      </c>
    </row>
    <row r="1089" spans="3:18" x14ac:dyDescent="0.2">
      <c r="C1089" s="80">
        <f t="shared" ca="1" si="34"/>
        <v>45959</v>
      </c>
      <c r="D1089" s="81">
        <f>IF(Data!I1089&lt;&gt;"",DATEDIF(Data!I1089,C1089,"m"),0)</f>
        <v>0</v>
      </c>
      <c r="E1089" s="82">
        <f t="shared" si="35"/>
        <v>0</v>
      </c>
      <c r="I1089" s="81" t="str">
        <f>CONCATENATE(Data!M1089,"-",Data!L1089)</f>
        <v>-</v>
      </c>
      <c r="N1089" s="81">
        <f>IF(Data!P1089,DATEDIF(Data!O1089,Data!P1089,"d"),0)</f>
        <v>0</v>
      </c>
      <c r="O1089" s="81">
        <f>IF(Data!M1089="CD",1,0)</f>
        <v>0</v>
      </c>
      <c r="P1089" s="81">
        <f>IF(Data!M1089="CD",0,1)</f>
        <v>1</v>
      </c>
      <c r="Q1089" s="81">
        <f>IF(Data!Q1089&gt;Data!P1089,DATEDIF(Data!P1089,Data!Q1089,"d"),0)</f>
        <v>0</v>
      </c>
      <c r="R1089" s="81">
        <f>IF(Data!R1089&gt;Data!Q1089,DATEDIF(Data!Q1089,Data!R1089,"d"),0)</f>
        <v>0</v>
      </c>
    </row>
    <row r="1090" spans="3:18" x14ac:dyDescent="0.2">
      <c r="C1090" s="80">
        <f t="shared" ref="C1090:C1153" ca="1" si="36">TODAY()</f>
        <v>45959</v>
      </c>
      <c r="D1090" s="81">
        <f>IF(Data!I1090&lt;&gt;"",DATEDIF(Data!I1090,C1090,"m"),0)</f>
        <v>0</v>
      </c>
      <c r="E1090" s="82">
        <f t="shared" si="35"/>
        <v>0</v>
      </c>
      <c r="I1090" s="81" t="str">
        <f>CONCATENATE(Data!M1090,"-",Data!L1090)</f>
        <v>-</v>
      </c>
      <c r="N1090" s="81">
        <f>IF(Data!P1090,DATEDIF(Data!O1090,Data!P1090,"d"),0)</f>
        <v>0</v>
      </c>
      <c r="O1090" s="81">
        <f>IF(Data!M1090="CD",1,0)</f>
        <v>0</v>
      </c>
      <c r="P1090" s="81">
        <f>IF(Data!M1090="CD",0,1)</f>
        <v>1</v>
      </c>
      <c r="Q1090" s="81">
        <f>IF(Data!Q1090&gt;Data!P1090,DATEDIF(Data!P1090,Data!Q1090,"d"),0)</f>
        <v>0</v>
      </c>
      <c r="R1090" s="81">
        <f>IF(Data!R1090&gt;Data!Q1090,DATEDIF(Data!Q1090,Data!R1090,"d"),0)</f>
        <v>0</v>
      </c>
    </row>
    <row r="1091" spans="3:18" x14ac:dyDescent="0.2">
      <c r="C1091" s="80">
        <f t="shared" ca="1" si="36"/>
        <v>45959</v>
      </c>
      <c r="D1091" s="81">
        <f>IF(Data!I1091&lt;&gt;"",DATEDIF(Data!I1091,C1091,"m"),0)</f>
        <v>0</v>
      </c>
      <c r="E1091" s="82">
        <f t="shared" ref="E1091:E1154" si="37">D1091/12</f>
        <v>0</v>
      </c>
      <c r="I1091" s="81" t="str">
        <f>CONCATENATE(Data!M1091,"-",Data!L1091)</f>
        <v>-</v>
      </c>
      <c r="N1091" s="81">
        <f>IF(Data!P1091,DATEDIF(Data!O1091,Data!P1091,"d"),0)</f>
        <v>0</v>
      </c>
      <c r="O1091" s="81">
        <f>IF(Data!M1091="CD",1,0)</f>
        <v>0</v>
      </c>
      <c r="P1091" s="81">
        <f>IF(Data!M1091="CD",0,1)</f>
        <v>1</v>
      </c>
      <c r="Q1091" s="81">
        <f>IF(Data!Q1091&gt;Data!P1091,DATEDIF(Data!P1091,Data!Q1091,"d"),0)</f>
        <v>0</v>
      </c>
      <c r="R1091" s="81">
        <f>IF(Data!R1091&gt;Data!Q1091,DATEDIF(Data!Q1091,Data!R1091,"d"),0)</f>
        <v>0</v>
      </c>
    </row>
    <row r="1092" spans="3:18" x14ac:dyDescent="0.2">
      <c r="C1092" s="80">
        <f t="shared" ca="1" si="36"/>
        <v>45959</v>
      </c>
      <c r="D1092" s="81">
        <f>IF(Data!I1092&lt;&gt;"",DATEDIF(Data!I1092,C1092,"m"),0)</f>
        <v>0</v>
      </c>
      <c r="E1092" s="82">
        <f t="shared" si="37"/>
        <v>0</v>
      </c>
      <c r="I1092" s="81" t="str">
        <f>CONCATENATE(Data!M1092,"-",Data!L1092)</f>
        <v>-</v>
      </c>
      <c r="N1092" s="81">
        <f>IF(Data!P1092,DATEDIF(Data!O1092,Data!P1092,"d"),0)</f>
        <v>0</v>
      </c>
      <c r="O1092" s="81">
        <f>IF(Data!M1092="CD",1,0)</f>
        <v>0</v>
      </c>
      <c r="P1092" s="81">
        <f>IF(Data!M1092="CD",0,1)</f>
        <v>1</v>
      </c>
      <c r="Q1092" s="81">
        <f>IF(Data!Q1092&gt;Data!P1092,DATEDIF(Data!P1092,Data!Q1092,"d"),0)</f>
        <v>0</v>
      </c>
      <c r="R1092" s="81">
        <f>IF(Data!R1092&gt;Data!Q1092,DATEDIF(Data!Q1092,Data!R1092,"d"),0)</f>
        <v>0</v>
      </c>
    </row>
    <row r="1093" spans="3:18" x14ac:dyDescent="0.2">
      <c r="C1093" s="80">
        <f t="shared" ca="1" si="36"/>
        <v>45959</v>
      </c>
      <c r="D1093" s="81">
        <f>IF(Data!I1093&lt;&gt;"",DATEDIF(Data!I1093,C1093,"m"),0)</f>
        <v>0</v>
      </c>
      <c r="E1093" s="82">
        <f t="shared" si="37"/>
        <v>0</v>
      </c>
      <c r="I1093" s="81" t="str">
        <f>CONCATENATE(Data!M1093,"-",Data!L1093)</f>
        <v>-</v>
      </c>
      <c r="N1093" s="81">
        <f>IF(Data!P1093,DATEDIF(Data!O1093,Data!P1093,"d"),0)</f>
        <v>0</v>
      </c>
      <c r="O1093" s="81">
        <f>IF(Data!M1093="CD",1,0)</f>
        <v>0</v>
      </c>
      <c r="P1093" s="81">
        <f>IF(Data!M1093="CD",0,1)</f>
        <v>1</v>
      </c>
      <c r="Q1093" s="81">
        <f>IF(Data!Q1093&gt;Data!P1093,DATEDIF(Data!P1093,Data!Q1093,"d"),0)</f>
        <v>0</v>
      </c>
      <c r="R1093" s="81">
        <f>IF(Data!R1093&gt;Data!Q1093,DATEDIF(Data!Q1093,Data!R1093,"d"),0)</f>
        <v>0</v>
      </c>
    </row>
    <row r="1094" spans="3:18" x14ac:dyDescent="0.2">
      <c r="C1094" s="80">
        <f t="shared" ca="1" si="36"/>
        <v>45959</v>
      </c>
      <c r="D1094" s="81">
        <f>IF(Data!I1094&lt;&gt;"",DATEDIF(Data!I1094,C1094,"m"),0)</f>
        <v>0</v>
      </c>
      <c r="E1094" s="82">
        <f t="shared" si="37"/>
        <v>0</v>
      </c>
      <c r="I1094" s="81" t="str">
        <f>CONCATENATE(Data!M1094,"-",Data!L1094)</f>
        <v>-</v>
      </c>
      <c r="N1094" s="81">
        <f>IF(Data!P1094,DATEDIF(Data!O1094,Data!P1094,"d"),0)</f>
        <v>0</v>
      </c>
      <c r="O1094" s="81">
        <f>IF(Data!M1094="CD",1,0)</f>
        <v>0</v>
      </c>
      <c r="P1094" s="81">
        <f>IF(Data!M1094="CD",0,1)</f>
        <v>1</v>
      </c>
      <c r="Q1094" s="81">
        <f>IF(Data!Q1094&gt;Data!P1094,DATEDIF(Data!P1094,Data!Q1094,"d"),0)</f>
        <v>0</v>
      </c>
      <c r="R1094" s="81">
        <f>IF(Data!R1094&gt;Data!Q1094,DATEDIF(Data!Q1094,Data!R1094,"d"),0)</f>
        <v>0</v>
      </c>
    </row>
    <row r="1095" spans="3:18" x14ac:dyDescent="0.2">
      <c r="C1095" s="80">
        <f t="shared" ca="1" si="36"/>
        <v>45959</v>
      </c>
      <c r="D1095" s="81">
        <f>IF(Data!I1095&lt;&gt;"",DATEDIF(Data!I1095,C1095,"m"),0)</f>
        <v>0</v>
      </c>
      <c r="E1095" s="82">
        <f t="shared" si="37"/>
        <v>0</v>
      </c>
      <c r="I1095" s="81" t="str">
        <f>CONCATENATE(Data!M1095,"-",Data!L1095)</f>
        <v>-</v>
      </c>
      <c r="N1095" s="81">
        <f>IF(Data!P1095,DATEDIF(Data!O1095,Data!P1095,"d"),0)</f>
        <v>0</v>
      </c>
      <c r="O1095" s="81">
        <f>IF(Data!M1095="CD",1,0)</f>
        <v>0</v>
      </c>
      <c r="P1095" s="81">
        <f>IF(Data!M1095="CD",0,1)</f>
        <v>1</v>
      </c>
      <c r="Q1095" s="81">
        <f>IF(Data!Q1095&gt;Data!P1095,DATEDIF(Data!P1095,Data!Q1095,"d"),0)</f>
        <v>0</v>
      </c>
      <c r="R1095" s="81">
        <f>IF(Data!R1095&gt;Data!Q1095,DATEDIF(Data!Q1095,Data!R1095,"d"),0)</f>
        <v>0</v>
      </c>
    </row>
    <row r="1096" spans="3:18" x14ac:dyDescent="0.2">
      <c r="C1096" s="80">
        <f t="shared" ca="1" si="36"/>
        <v>45959</v>
      </c>
      <c r="D1096" s="81">
        <f>IF(Data!I1096&lt;&gt;"",DATEDIF(Data!I1096,C1096,"m"),0)</f>
        <v>0</v>
      </c>
      <c r="E1096" s="82">
        <f t="shared" si="37"/>
        <v>0</v>
      </c>
      <c r="I1096" s="81" t="str">
        <f>CONCATENATE(Data!M1096,"-",Data!L1096)</f>
        <v>-</v>
      </c>
      <c r="N1096" s="81">
        <f>IF(Data!P1096,DATEDIF(Data!O1096,Data!P1096,"d"),0)</f>
        <v>0</v>
      </c>
      <c r="O1096" s="81">
        <f>IF(Data!M1096="CD",1,0)</f>
        <v>0</v>
      </c>
      <c r="P1096" s="81">
        <f>IF(Data!M1096="CD",0,1)</f>
        <v>1</v>
      </c>
      <c r="Q1096" s="81">
        <f>IF(Data!Q1096&gt;Data!P1096,DATEDIF(Data!P1096,Data!Q1096,"d"),0)</f>
        <v>0</v>
      </c>
      <c r="R1096" s="81">
        <f>IF(Data!R1096&gt;Data!Q1096,DATEDIF(Data!Q1096,Data!R1096,"d"),0)</f>
        <v>0</v>
      </c>
    </row>
    <row r="1097" spans="3:18" x14ac:dyDescent="0.2">
      <c r="C1097" s="80">
        <f t="shared" ca="1" si="36"/>
        <v>45959</v>
      </c>
      <c r="D1097" s="81">
        <f>IF(Data!I1097&lt;&gt;"",DATEDIF(Data!I1097,C1097,"m"),0)</f>
        <v>0</v>
      </c>
      <c r="E1097" s="82">
        <f t="shared" si="37"/>
        <v>0</v>
      </c>
      <c r="I1097" s="81" t="str">
        <f>CONCATENATE(Data!M1097,"-",Data!L1097)</f>
        <v>-</v>
      </c>
      <c r="N1097" s="81">
        <f>IF(Data!P1097,DATEDIF(Data!O1097,Data!P1097,"d"),0)</f>
        <v>0</v>
      </c>
      <c r="O1097" s="81">
        <f>IF(Data!M1097="CD",1,0)</f>
        <v>0</v>
      </c>
      <c r="P1097" s="81">
        <f>IF(Data!M1097="CD",0,1)</f>
        <v>1</v>
      </c>
      <c r="Q1097" s="81">
        <f>IF(Data!Q1097&gt;Data!P1097,DATEDIF(Data!P1097,Data!Q1097,"d"),0)</f>
        <v>0</v>
      </c>
      <c r="R1097" s="81">
        <f>IF(Data!R1097&gt;Data!Q1097,DATEDIF(Data!Q1097,Data!R1097,"d"),0)</f>
        <v>0</v>
      </c>
    </row>
    <row r="1098" spans="3:18" x14ac:dyDescent="0.2">
      <c r="C1098" s="80">
        <f t="shared" ca="1" si="36"/>
        <v>45959</v>
      </c>
      <c r="D1098" s="81">
        <f>IF(Data!I1098&lt;&gt;"",DATEDIF(Data!I1098,C1098,"m"),0)</f>
        <v>0</v>
      </c>
      <c r="E1098" s="82">
        <f t="shared" si="37"/>
        <v>0</v>
      </c>
      <c r="I1098" s="81" t="str">
        <f>CONCATENATE(Data!M1098,"-",Data!L1098)</f>
        <v>-</v>
      </c>
      <c r="N1098" s="81">
        <f>IF(Data!P1098,DATEDIF(Data!O1098,Data!P1098,"d"),0)</f>
        <v>0</v>
      </c>
      <c r="O1098" s="81">
        <f>IF(Data!M1098="CD",1,0)</f>
        <v>0</v>
      </c>
      <c r="P1098" s="81">
        <f>IF(Data!M1098="CD",0,1)</f>
        <v>1</v>
      </c>
      <c r="Q1098" s="81">
        <f>IF(Data!Q1098&gt;Data!P1098,DATEDIF(Data!P1098,Data!Q1098,"d"),0)</f>
        <v>0</v>
      </c>
      <c r="R1098" s="81">
        <f>IF(Data!R1098&gt;Data!Q1098,DATEDIF(Data!Q1098,Data!R1098,"d"),0)</f>
        <v>0</v>
      </c>
    </row>
    <row r="1099" spans="3:18" x14ac:dyDescent="0.2">
      <c r="C1099" s="80">
        <f t="shared" ca="1" si="36"/>
        <v>45959</v>
      </c>
      <c r="D1099" s="81">
        <f>IF(Data!I1099&lt;&gt;"",DATEDIF(Data!I1099,C1099,"m"),0)</f>
        <v>0</v>
      </c>
      <c r="E1099" s="82">
        <f t="shared" si="37"/>
        <v>0</v>
      </c>
      <c r="I1099" s="81" t="str">
        <f>CONCATENATE(Data!M1099,"-",Data!L1099)</f>
        <v>-</v>
      </c>
      <c r="N1099" s="81">
        <f>IF(Data!P1099,DATEDIF(Data!O1099,Data!P1099,"d"),0)</f>
        <v>0</v>
      </c>
      <c r="O1099" s="81">
        <f>IF(Data!M1099="CD",1,0)</f>
        <v>0</v>
      </c>
      <c r="P1099" s="81">
        <f>IF(Data!M1099="CD",0,1)</f>
        <v>1</v>
      </c>
      <c r="Q1099" s="81">
        <f>IF(Data!Q1099&gt;Data!P1099,DATEDIF(Data!P1099,Data!Q1099,"d"),0)</f>
        <v>0</v>
      </c>
      <c r="R1099" s="81">
        <f>IF(Data!R1099&gt;Data!Q1099,DATEDIF(Data!Q1099,Data!R1099,"d"),0)</f>
        <v>0</v>
      </c>
    </row>
    <row r="1100" spans="3:18" x14ac:dyDescent="0.2">
      <c r="C1100" s="80">
        <f t="shared" ca="1" si="36"/>
        <v>45959</v>
      </c>
      <c r="D1100" s="81">
        <f>IF(Data!I1100&lt;&gt;"",DATEDIF(Data!I1100,C1100,"m"),0)</f>
        <v>0</v>
      </c>
      <c r="E1100" s="82">
        <f t="shared" si="37"/>
        <v>0</v>
      </c>
      <c r="I1100" s="81" t="str">
        <f>CONCATENATE(Data!M1100,"-",Data!L1100)</f>
        <v>-</v>
      </c>
      <c r="N1100" s="81">
        <f>IF(Data!P1100,DATEDIF(Data!O1100,Data!P1100,"d"),0)</f>
        <v>0</v>
      </c>
      <c r="O1100" s="81">
        <f>IF(Data!M1100="CD",1,0)</f>
        <v>0</v>
      </c>
      <c r="P1100" s="81">
        <f>IF(Data!M1100="CD",0,1)</f>
        <v>1</v>
      </c>
      <c r="Q1100" s="81">
        <f>IF(Data!Q1100&gt;Data!P1100,DATEDIF(Data!P1100,Data!Q1100,"d"),0)</f>
        <v>0</v>
      </c>
      <c r="R1100" s="81">
        <f>IF(Data!R1100&gt;Data!Q1100,DATEDIF(Data!Q1100,Data!R1100,"d"),0)</f>
        <v>0</v>
      </c>
    </row>
    <row r="1101" spans="3:18" x14ac:dyDescent="0.2">
      <c r="C1101" s="80">
        <f t="shared" ca="1" si="36"/>
        <v>45959</v>
      </c>
      <c r="D1101" s="81">
        <f>IF(Data!I1101&lt;&gt;"",DATEDIF(Data!I1101,C1101,"m"),0)</f>
        <v>0</v>
      </c>
      <c r="E1101" s="82">
        <f t="shared" si="37"/>
        <v>0</v>
      </c>
      <c r="I1101" s="81" t="str">
        <f>CONCATENATE(Data!M1101,"-",Data!L1101)</f>
        <v>-</v>
      </c>
      <c r="N1101" s="81">
        <f>IF(Data!P1101,DATEDIF(Data!O1101,Data!P1101,"d"),0)</f>
        <v>0</v>
      </c>
      <c r="O1101" s="81">
        <f>IF(Data!M1101="CD",1,0)</f>
        <v>0</v>
      </c>
      <c r="P1101" s="81">
        <f>IF(Data!M1101="CD",0,1)</f>
        <v>1</v>
      </c>
      <c r="Q1101" s="81">
        <f>IF(Data!Q1101&gt;Data!P1101,DATEDIF(Data!P1101,Data!Q1101,"d"),0)</f>
        <v>0</v>
      </c>
      <c r="R1101" s="81">
        <f>IF(Data!R1101&gt;Data!Q1101,DATEDIF(Data!Q1101,Data!R1101,"d"),0)</f>
        <v>0</v>
      </c>
    </row>
    <row r="1102" spans="3:18" x14ac:dyDescent="0.2">
      <c r="C1102" s="80">
        <f t="shared" ca="1" si="36"/>
        <v>45959</v>
      </c>
      <c r="D1102" s="81">
        <f>IF(Data!I1102&lt;&gt;"",DATEDIF(Data!I1102,C1102,"m"),0)</f>
        <v>0</v>
      </c>
      <c r="E1102" s="82">
        <f t="shared" si="37"/>
        <v>0</v>
      </c>
      <c r="I1102" s="81" t="str">
        <f>CONCATENATE(Data!M1102,"-",Data!L1102)</f>
        <v>-</v>
      </c>
      <c r="N1102" s="81">
        <f>IF(Data!P1102,DATEDIF(Data!O1102,Data!P1102,"d"),0)</f>
        <v>0</v>
      </c>
      <c r="O1102" s="81">
        <f>IF(Data!M1102="CD",1,0)</f>
        <v>0</v>
      </c>
      <c r="P1102" s="81">
        <f>IF(Data!M1102="CD",0,1)</f>
        <v>1</v>
      </c>
      <c r="Q1102" s="81">
        <f>IF(Data!Q1102&gt;Data!P1102,DATEDIF(Data!P1102,Data!Q1102,"d"),0)</f>
        <v>0</v>
      </c>
      <c r="R1102" s="81">
        <f>IF(Data!R1102&gt;Data!Q1102,DATEDIF(Data!Q1102,Data!R1102,"d"),0)</f>
        <v>0</v>
      </c>
    </row>
    <row r="1103" spans="3:18" x14ac:dyDescent="0.2">
      <c r="C1103" s="80">
        <f t="shared" ca="1" si="36"/>
        <v>45959</v>
      </c>
      <c r="D1103" s="81">
        <f>IF(Data!I1103&lt;&gt;"",DATEDIF(Data!I1103,C1103,"m"),0)</f>
        <v>0</v>
      </c>
      <c r="E1103" s="82">
        <f t="shared" si="37"/>
        <v>0</v>
      </c>
      <c r="I1103" s="81" t="str">
        <f>CONCATENATE(Data!M1103,"-",Data!L1103)</f>
        <v>-</v>
      </c>
      <c r="N1103" s="81">
        <f>IF(Data!P1103,DATEDIF(Data!O1103,Data!P1103,"d"),0)</f>
        <v>0</v>
      </c>
      <c r="O1103" s="81">
        <f>IF(Data!M1103="CD",1,0)</f>
        <v>0</v>
      </c>
      <c r="P1103" s="81">
        <f>IF(Data!M1103="CD",0,1)</f>
        <v>1</v>
      </c>
      <c r="Q1103" s="81">
        <f>IF(Data!Q1103&gt;Data!P1103,DATEDIF(Data!P1103,Data!Q1103,"d"),0)</f>
        <v>0</v>
      </c>
      <c r="R1103" s="81">
        <f>IF(Data!R1103&gt;Data!Q1103,DATEDIF(Data!Q1103,Data!R1103,"d"),0)</f>
        <v>0</v>
      </c>
    </row>
    <row r="1104" spans="3:18" x14ac:dyDescent="0.2">
      <c r="C1104" s="80">
        <f t="shared" ca="1" si="36"/>
        <v>45959</v>
      </c>
      <c r="D1104" s="81">
        <f>IF(Data!I1104&lt;&gt;"",DATEDIF(Data!I1104,C1104,"m"),0)</f>
        <v>0</v>
      </c>
      <c r="E1104" s="82">
        <f t="shared" si="37"/>
        <v>0</v>
      </c>
      <c r="I1104" s="81" t="str">
        <f>CONCATENATE(Data!M1104,"-",Data!L1104)</f>
        <v>-</v>
      </c>
      <c r="N1104" s="81">
        <f>IF(Data!P1104,DATEDIF(Data!O1104,Data!P1104,"d"),0)</f>
        <v>0</v>
      </c>
      <c r="O1104" s="81">
        <f>IF(Data!M1104="CD",1,0)</f>
        <v>0</v>
      </c>
      <c r="P1104" s="81">
        <f>IF(Data!M1104="CD",0,1)</f>
        <v>1</v>
      </c>
      <c r="Q1104" s="81">
        <f>IF(Data!Q1104&gt;Data!P1104,DATEDIF(Data!P1104,Data!Q1104,"d"),0)</f>
        <v>0</v>
      </c>
      <c r="R1104" s="81">
        <f>IF(Data!R1104&gt;Data!Q1104,DATEDIF(Data!Q1104,Data!R1104,"d"),0)</f>
        <v>0</v>
      </c>
    </row>
    <row r="1105" spans="3:18" x14ac:dyDescent="0.2">
      <c r="C1105" s="80">
        <f t="shared" ca="1" si="36"/>
        <v>45959</v>
      </c>
      <c r="D1105" s="81">
        <f>IF(Data!I1105&lt;&gt;"",DATEDIF(Data!I1105,C1105,"m"),0)</f>
        <v>0</v>
      </c>
      <c r="E1105" s="82">
        <f t="shared" si="37"/>
        <v>0</v>
      </c>
      <c r="I1105" s="81" t="str">
        <f>CONCATENATE(Data!M1105,"-",Data!L1105)</f>
        <v>-</v>
      </c>
      <c r="N1105" s="81">
        <f>IF(Data!P1105,DATEDIF(Data!O1105,Data!P1105,"d"),0)</f>
        <v>0</v>
      </c>
      <c r="O1105" s="81">
        <f>IF(Data!M1105="CD",1,0)</f>
        <v>0</v>
      </c>
      <c r="P1105" s="81">
        <f>IF(Data!M1105="CD",0,1)</f>
        <v>1</v>
      </c>
      <c r="Q1105" s="81">
        <f>IF(Data!Q1105&gt;Data!P1105,DATEDIF(Data!P1105,Data!Q1105,"d"),0)</f>
        <v>0</v>
      </c>
      <c r="R1105" s="81">
        <f>IF(Data!R1105&gt;Data!Q1105,DATEDIF(Data!Q1105,Data!R1105,"d"),0)</f>
        <v>0</v>
      </c>
    </row>
    <row r="1106" spans="3:18" x14ac:dyDescent="0.2">
      <c r="C1106" s="80">
        <f t="shared" ca="1" si="36"/>
        <v>45959</v>
      </c>
      <c r="D1106" s="81">
        <f>IF(Data!I1106&lt;&gt;"",DATEDIF(Data!I1106,C1106,"m"),0)</f>
        <v>0</v>
      </c>
      <c r="E1106" s="82">
        <f t="shared" si="37"/>
        <v>0</v>
      </c>
      <c r="I1106" s="81" t="str">
        <f>CONCATENATE(Data!M1106,"-",Data!L1106)</f>
        <v>-</v>
      </c>
      <c r="N1106" s="81">
        <f>IF(Data!P1106,DATEDIF(Data!O1106,Data!P1106,"d"),0)</f>
        <v>0</v>
      </c>
      <c r="O1106" s="81">
        <f>IF(Data!M1106="CD",1,0)</f>
        <v>0</v>
      </c>
      <c r="P1106" s="81">
        <f>IF(Data!M1106="CD",0,1)</f>
        <v>1</v>
      </c>
      <c r="Q1106" s="81">
        <f>IF(Data!Q1106&gt;Data!P1106,DATEDIF(Data!P1106,Data!Q1106,"d"),0)</f>
        <v>0</v>
      </c>
      <c r="R1106" s="81">
        <f>IF(Data!R1106&gt;Data!Q1106,DATEDIF(Data!Q1106,Data!R1106,"d"),0)</f>
        <v>0</v>
      </c>
    </row>
    <row r="1107" spans="3:18" x14ac:dyDescent="0.2">
      <c r="C1107" s="80">
        <f t="shared" ca="1" si="36"/>
        <v>45959</v>
      </c>
      <c r="D1107" s="81">
        <f>IF(Data!I1107&lt;&gt;"",DATEDIF(Data!I1107,C1107,"m"),0)</f>
        <v>0</v>
      </c>
      <c r="E1107" s="82">
        <f t="shared" si="37"/>
        <v>0</v>
      </c>
      <c r="I1107" s="81" t="str">
        <f>CONCATENATE(Data!M1107,"-",Data!L1107)</f>
        <v>-</v>
      </c>
      <c r="N1107" s="81">
        <f>IF(Data!P1107,DATEDIF(Data!O1107,Data!P1107,"d"),0)</f>
        <v>0</v>
      </c>
      <c r="O1107" s="81">
        <f>IF(Data!M1107="CD",1,0)</f>
        <v>0</v>
      </c>
      <c r="P1107" s="81">
        <f>IF(Data!M1107="CD",0,1)</f>
        <v>1</v>
      </c>
      <c r="Q1107" s="81">
        <f>IF(Data!Q1107&gt;Data!P1107,DATEDIF(Data!P1107,Data!Q1107,"d"),0)</f>
        <v>0</v>
      </c>
      <c r="R1107" s="81">
        <f>IF(Data!R1107&gt;Data!Q1107,DATEDIF(Data!Q1107,Data!R1107,"d"),0)</f>
        <v>0</v>
      </c>
    </row>
    <row r="1108" spans="3:18" x14ac:dyDescent="0.2">
      <c r="C1108" s="80">
        <f t="shared" ca="1" si="36"/>
        <v>45959</v>
      </c>
      <c r="D1108" s="81">
        <f>IF(Data!I1108&lt;&gt;"",DATEDIF(Data!I1108,C1108,"m"),0)</f>
        <v>0</v>
      </c>
      <c r="E1108" s="82">
        <f t="shared" si="37"/>
        <v>0</v>
      </c>
      <c r="I1108" s="81" t="str">
        <f>CONCATENATE(Data!M1108,"-",Data!L1108)</f>
        <v>-</v>
      </c>
      <c r="N1108" s="81">
        <f>IF(Data!P1108,DATEDIF(Data!O1108,Data!P1108,"d"),0)</f>
        <v>0</v>
      </c>
      <c r="O1108" s="81">
        <f>IF(Data!M1108="CD",1,0)</f>
        <v>0</v>
      </c>
      <c r="P1108" s="81">
        <f>IF(Data!M1108="CD",0,1)</f>
        <v>1</v>
      </c>
      <c r="Q1108" s="81">
        <f>IF(Data!Q1108&gt;Data!P1108,DATEDIF(Data!P1108,Data!Q1108,"d"),0)</f>
        <v>0</v>
      </c>
      <c r="R1108" s="81">
        <f>IF(Data!R1108&gt;Data!Q1108,DATEDIF(Data!Q1108,Data!R1108,"d"),0)</f>
        <v>0</v>
      </c>
    </row>
    <row r="1109" spans="3:18" x14ac:dyDescent="0.2">
      <c r="C1109" s="80">
        <f t="shared" ca="1" si="36"/>
        <v>45959</v>
      </c>
      <c r="D1109" s="81">
        <f>IF(Data!I1109&lt;&gt;"",DATEDIF(Data!I1109,C1109,"m"),0)</f>
        <v>0</v>
      </c>
      <c r="E1109" s="82">
        <f t="shared" si="37"/>
        <v>0</v>
      </c>
      <c r="I1109" s="81" t="str">
        <f>CONCATENATE(Data!M1109,"-",Data!L1109)</f>
        <v>-</v>
      </c>
      <c r="N1109" s="81">
        <f>IF(Data!P1109,DATEDIF(Data!O1109,Data!P1109,"d"),0)</f>
        <v>0</v>
      </c>
      <c r="O1109" s="81">
        <f>IF(Data!M1109="CD",1,0)</f>
        <v>0</v>
      </c>
      <c r="P1109" s="81">
        <f>IF(Data!M1109="CD",0,1)</f>
        <v>1</v>
      </c>
      <c r="Q1109" s="81">
        <f>IF(Data!Q1109&gt;Data!P1109,DATEDIF(Data!P1109,Data!Q1109,"d"),0)</f>
        <v>0</v>
      </c>
      <c r="R1109" s="81">
        <f>IF(Data!R1109&gt;Data!Q1109,DATEDIF(Data!Q1109,Data!R1109,"d"),0)</f>
        <v>0</v>
      </c>
    </row>
    <row r="1110" spans="3:18" x14ac:dyDescent="0.2">
      <c r="C1110" s="80">
        <f t="shared" ca="1" si="36"/>
        <v>45959</v>
      </c>
      <c r="D1110" s="81">
        <f>IF(Data!I1110&lt;&gt;"",DATEDIF(Data!I1110,C1110,"m"),0)</f>
        <v>0</v>
      </c>
      <c r="E1110" s="82">
        <f t="shared" si="37"/>
        <v>0</v>
      </c>
      <c r="I1110" s="81" t="str">
        <f>CONCATENATE(Data!M1110,"-",Data!L1110)</f>
        <v>-</v>
      </c>
      <c r="N1110" s="81">
        <f>IF(Data!P1110,DATEDIF(Data!O1110,Data!P1110,"d"),0)</f>
        <v>0</v>
      </c>
      <c r="O1110" s="81">
        <f>IF(Data!M1110="CD",1,0)</f>
        <v>0</v>
      </c>
      <c r="P1110" s="81">
        <f>IF(Data!M1110="CD",0,1)</f>
        <v>1</v>
      </c>
      <c r="Q1110" s="81">
        <f>IF(Data!Q1110&gt;Data!P1110,DATEDIF(Data!P1110,Data!Q1110,"d"),0)</f>
        <v>0</v>
      </c>
      <c r="R1110" s="81">
        <f>IF(Data!R1110&gt;Data!Q1110,DATEDIF(Data!Q1110,Data!R1110,"d"),0)</f>
        <v>0</v>
      </c>
    </row>
    <row r="1111" spans="3:18" x14ac:dyDescent="0.2">
      <c r="C1111" s="80">
        <f t="shared" ca="1" si="36"/>
        <v>45959</v>
      </c>
      <c r="D1111" s="81">
        <f>IF(Data!I1111&lt;&gt;"",DATEDIF(Data!I1111,C1111,"m"),0)</f>
        <v>0</v>
      </c>
      <c r="E1111" s="82">
        <f t="shared" si="37"/>
        <v>0</v>
      </c>
      <c r="I1111" s="81" t="str">
        <f>CONCATENATE(Data!M1111,"-",Data!L1111)</f>
        <v>-</v>
      </c>
      <c r="N1111" s="81">
        <f>IF(Data!P1111,DATEDIF(Data!O1111,Data!P1111,"d"),0)</f>
        <v>0</v>
      </c>
      <c r="O1111" s="81">
        <f>IF(Data!M1111="CD",1,0)</f>
        <v>0</v>
      </c>
      <c r="P1111" s="81">
        <f>IF(Data!M1111="CD",0,1)</f>
        <v>1</v>
      </c>
      <c r="Q1111" s="81">
        <f>IF(Data!Q1111&gt;Data!P1111,DATEDIF(Data!P1111,Data!Q1111,"d"),0)</f>
        <v>0</v>
      </c>
      <c r="R1111" s="81">
        <f>IF(Data!R1111&gt;Data!Q1111,DATEDIF(Data!Q1111,Data!R1111,"d"),0)</f>
        <v>0</v>
      </c>
    </row>
    <row r="1112" spans="3:18" x14ac:dyDescent="0.2">
      <c r="C1112" s="80">
        <f t="shared" ca="1" si="36"/>
        <v>45959</v>
      </c>
      <c r="D1112" s="81">
        <f>IF(Data!I1112&lt;&gt;"",DATEDIF(Data!I1112,C1112,"m"),0)</f>
        <v>0</v>
      </c>
      <c r="E1112" s="82">
        <f t="shared" si="37"/>
        <v>0</v>
      </c>
      <c r="I1112" s="81" t="str">
        <f>CONCATENATE(Data!M1112,"-",Data!L1112)</f>
        <v>-</v>
      </c>
      <c r="N1112" s="81">
        <f>IF(Data!P1112,DATEDIF(Data!O1112,Data!P1112,"d"),0)</f>
        <v>0</v>
      </c>
      <c r="O1112" s="81">
        <f>IF(Data!M1112="CD",1,0)</f>
        <v>0</v>
      </c>
      <c r="P1112" s="81">
        <f>IF(Data!M1112="CD",0,1)</f>
        <v>1</v>
      </c>
      <c r="Q1112" s="81">
        <f>IF(Data!Q1112&gt;Data!P1112,DATEDIF(Data!P1112,Data!Q1112,"d"),0)</f>
        <v>0</v>
      </c>
      <c r="R1112" s="81">
        <f>IF(Data!R1112&gt;Data!Q1112,DATEDIF(Data!Q1112,Data!R1112,"d"),0)</f>
        <v>0</v>
      </c>
    </row>
    <row r="1113" spans="3:18" x14ac:dyDescent="0.2">
      <c r="C1113" s="80">
        <f t="shared" ca="1" si="36"/>
        <v>45959</v>
      </c>
      <c r="D1113" s="81">
        <f>IF(Data!I1113&lt;&gt;"",DATEDIF(Data!I1113,C1113,"m"),0)</f>
        <v>0</v>
      </c>
      <c r="E1113" s="82">
        <f t="shared" si="37"/>
        <v>0</v>
      </c>
      <c r="I1113" s="81" t="str">
        <f>CONCATENATE(Data!M1113,"-",Data!L1113)</f>
        <v>-</v>
      </c>
      <c r="N1113" s="81">
        <f>IF(Data!P1113,DATEDIF(Data!O1113,Data!P1113,"d"),0)</f>
        <v>0</v>
      </c>
      <c r="O1113" s="81">
        <f>IF(Data!M1113="CD",1,0)</f>
        <v>0</v>
      </c>
      <c r="P1113" s="81">
        <f>IF(Data!M1113="CD",0,1)</f>
        <v>1</v>
      </c>
      <c r="Q1113" s="81">
        <f>IF(Data!Q1113&gt;Data!P1113,DATEDIF(Data!P1113,Data!Q1113,"d"),0)</f>
        <v>0</v>
      </c>
      <c r="R1113" s="81">
        <f>IF(Data!R1113&gt;Data!Q1113,DATEDIF(Data!Q1113,Data!R1113,"d"),0)</f>
        <v>0</v>
      </c>
    </row>
    <row r="1114" spans="3:18" x14ac:dyDescent="0.2">
      <c r="C1114" s="80">
        <f t="shared" ca="1" si="36"/>
        <v>45959</v>
      </c>
      <c r="D1114" s="81">
        <f>IF(Data!I1114&lt;&gt;"",DATEDIF(Data!I1114,C1114,"m"),0)</f>
        <v>0</v>
      </c>
      <c r="E1114" s="82">
        <f t="shared" si="37"/>
        <v>0</v>
      </c>
      <c r="I1114" s="81" t="str">
        <f>CONCATENATE(Data!M1114,"-",Data!L1114)</f>
        <v>-</v>
      </c>
      <c r="N1114" s="81">
        <f>IF(Data!P1114,DATEDIF(Data!O1114,Data!P1114,"d"),0)</f>
        <v>0</v>
      </c>
      <c r="O1114" s="81">
        <f>IF(Data!M1114="CD",1,0)</f>
        <v>0</v>
      </c>
      <c r="P1114" s="81">
        <f>IF(Data!M1114="CD",0,1)</f>
        <v>1</v>
      </c>
      <c r="Q1114" s="81">
        <f>IF(Data!Q1114&gt;Data!P1114,DATEDIF(Data!P1114,Data!Q1114,"d"),0)</f>
        <v>0</v>
      </c>
      <c r="R1114" s="81">
        <f>IF(Data!R1114&gt;Data!Q1114,DATEDIF(Data!Q1114,Data!R1114,"d"),0)</f>
        <v>0</v>
      </c>
    </row>
    <row r="1115" spans="3:18" x14ac:dyDescent="0.2">
      <c r="C1115" s="80">
        <f t="shared" ca="1" si="36"/>
        <v>45959</v>
      </c>
      <c r="D1115" s="81">
        <f>IF(Data!I1115&lt;&gt;"",DATEDIF(Data!I1115,C1115,"m"),0)</f>
        <v>0</v>
      </c>
      <c r="E1115" s="82">
        <f t="shared" si="37"/>
        <v>0</v>
      </c>
      <c r="I1115" s="81" t="str">
        <f>CONCATENATE(Data!M1115,"-",Data!L1115)</f>
        <v>-</v>
      </c>
      <c r="N1115" s="81">
        <f>IF(Data!P1115,DATEDIF(Data!O1115,Data!P1115,"d"),0)</f>
        <v>0</v>
      </c>
      <c r="O1115" s="81">
        <f>IF(Data!M1115="CD",1,0)</f>
        <v>0</v>
      </c>
      <c r="P1115" s="81">
        <f>IF(Data!M1115="CD",0,1)</f>
        <v>1</v>
      </c>
      <c r="Q1115" s="81">
        <f>IF(Data!Q1115&gt;Data!P1115,DATEDIF(Data!P1115,Data!Q1115,"d"),0)</f>
        <v>0</v>
      </c>
      <c r="R1115" s="81">
        <f>IF(Data!R1115&gt;Data!Q1115,DATEDIF(Data!Q1115,Data!R1115,"d"),0)</f>
        <v>0</v>
      </c>
    </row>
    <row r="1116" spans="3:18" x14ac:dyDescent="0.2">
      <c r="C1116" s="80">
        <f t="shared" ca="1" si="36"/>
        <v>45959</v>
      </c>
      <c r="D1116" s="81">
        <f>IF(Data!I1116&lt;&gt;"",DATEDIF(Data!I1116,C1116,"m"),0)</f>
        <v>0</v>
      </c>
      <c r="E1116" s="82">
        <f t="shared" si="37"/>
        <v>0</v>
      </c>
      <c r="I1116" s="81" t="str">
        <f>CONCATENATE(Data!M1116,"-",Data!L1116)</f>
        <v>-</v>
      </c>
      <c r="N1116" s="81">
        <f>IF(Data!P1116,DATEDIF(Data!O1116,Data!P1116,"d"),0)</f>
        <v>0</v>
      </c>
      <c r="O1116" s="81">
        <f>IF(Data!M1116="CD",1,0)</f>
        <v>0</v>
      </c>
      <c r="P1116" s="81">
        <f>IF(Data!M1116="CD",0,1)</f>
        <v>1</v>
      </c>
      <c r="Q1116" s="81">
        <f>IF(Data!Q1116&gt;Data!P1116,DATEDIF(Data!P1116,Data!Q1116,"d"),0)</f>
        <v>0</v>
      </c>
      <c r="R1116" s="81">
        <f>IF(Data!R1116&gt;Data!Q1116,DATEDIF(Data!Q1116,Data!R1116,"d"),0)</f>
        <v>0</v>
      </c>
    </row>
    <row r="1117" spans="3:18" x14ac:dyDescent="0.2">
      <c r="C1117" s="80">
        <f t="shared" ca="1" si="36"/>
        <v>45959</v>
      </c>
      <c r="D1117" s="81">
        <f>IF(Data!I1117&lt;&gt;"",DATEDIF(Data!I1117,C1117,"m"),0)</f>
        <v>0</v>
      </c>
      <c r="E1117" s="82">
        <f t="shared" si="37"/>
        <v>0</v>
      </c>
      <c r="I1117" s="81" t="str">
        <f>CONCATENATE(Data!M1117,"-",Data!L1117)</f>
        <v>-</v>
      </c>
      <c r="N1117" s="81">
        <f>IF(Data!P1117,DATEDIF(Data!O1117,Data!P1117,"d"),0)</f>
        <v>0</v>
      </c>
      <c r="O1117" s="81">
        <f>IF(Data!M1117="CD",1,0)</f>
        <v>0</v>
      </c>
      <c r="P1117" s="81">
        <f>IF(Data!M1117="CD",0,1)</f>
        <v>1</v>
      </c>
      <c r="Q1117" s="81">
        <f>IF(Data!Q1117&gt;Data!P1117,DATEDIF(Data!P1117,Data!Q1117,"d"),0)</f>
        <v>0</v>
      </c>
      <c r="R1117" s="81">
        <f>IF(Data!R1117&gt;Data!Q1117,DATEDIF(Data!Q1117,Data!R1117,"d"),0)</f>
        <v>0</v>
      </c>
    </row>
    <row r="1118" spans="3:18" x14ac:dyDescent="0.2">
      <c r="C1118" s="80">
        <f t="shared" ca="1" si="36"/>
        <v>45959</v>
      </c>
      <c r="D1118" s="81">
        <f>IF(Data!I1118&lt;&gt;"",DATEDIF(Data!I1118,C1118,"m"),0)</f>
        <v>0</v>
      </c>
      <c r="E1118" s="82">
        <f t="shared" si="37"/>
        <v>0</v>
      </c>
      <c r="I1118" s="81" t="str">
        <f>CONCATENATE(Data!M1118,"-",Data!L1118)</f>
        <v>-</v>
      </c>
      <c r="N1118" s="81">
        <f>IF(Data!P1118,DATEDIF(Data!O1118,Data!P1118,"d"),0)</f>
        <v>0</v>
      </c>
      <c r="O1118" s="81">
        <f>IF(Data!M1118="CD",1,0)</f>
        <v>0</v>
      </c>
      <c r="P1118" s="81">
        <f>IF(Data!M1118="CD",0,1)</f>
        <v>1</v>
      </c>
      <c r="Q1118" s="81">
        <f>IF(Data!Q1118&gt;Data!P1118,DATEDIF(Data!P1118,Data!Q1118,"d"),0)</f>
        <v>0</v>
      </c>
      <c r="R1118" s="81">
        <f>IF(Data!R1118&gt;Data!Q1118,DATEDIF(Data!Q1118,Data!R1118,"d"),0)</f>
        <v>0</v>
      </c>
    </row>
    <row r="1119" spans="3:18" x14ac:dyDescent="0.2">
      <c r="C1119" s="80">
        <f t="shared" ca="1" si="36"/>
        <v>45959</v>
      </c>
      <c r="D1119" s="81">
        <f>IF(Data!I1119&lt;&gt;"",DATEDIF(Data!I1119,C1119,"m"),0)</f>
        <v>0</v>
      </c>
      <c r="E1119" s="82">
        <f t="shared" si="37"/>
        <v>0</v>
      </c>
      <c r="I1119" s="81" t="str">
        <f>CONCATENATE(Data!M1119,"-",Data!L1119)</f>
        <v>-</v>
      </c>
      <c r="N1119" s="81">
        <f>IF(Data!P1119,DATEDIF(Data!O1119,Data!P1119,"d"),0)</f>
        <v>0</v>
      </c>
      <c r="O1119" s="81">
        <f>IF(Data!M1119="CD",1,0)</f>
        <v>0</v>
      </c>
      <c r="P1119" s="81">
        <f>IF(Data!M1119="CD",0,1)</f>
        <v>1</v>
      </c>
      <c r="Q1119" s="81">
        <f>IF(Data!Q1119&gt;Data!P1119,DATEDIF(Data!P1119,Data!Q1119,"d"),0)</f>
        <v>0</v>
      </c>
      <c r="R1119" s="81">
        <f>IF(Data!R1119&gt;Data!Q1119,DATEDIF(Data!Q1119,Data!R1119,"d"),0)</f>
        <v>0</v>
      </c>
    </row>
    <row r="1120" spans="3:18" x14ac:dyDescent="0.2">
      <c r="C1120" s="80">
        <f t="shared" ca="1" si="36"/>
        <v>45959</v>
      </c>
      <c r="D1120" s="81">
        <f>IF(Data!I1120&lt;&gt;"",DATEDIF(Data!I1120,C1120,"m"),0)</f>
        <v>0</v>
      </c>
      <c r="E1120" s="82">
        <f t="shared" si="37"/>
        <v>0</v>
      </c>
      <c r="I1120" s="81" t="str">
        <f>CONCATENATE(Data!M1120,"-",Data!L1120)</f>
        <v>-</v>
      </c>
      <c r="N1120" s="81">
        <f>IF(Data!P1120,DATEDIF(Data!O1120,Data!P1120,"d"),0)</f>
        <v>0</v>
      </c>
      <c r="O1120" s="81">
        <f>IF(Data!M1120="CD",1,0)</f>
        <v>0</v>
      </c>
      <c r="P1120" s="81">
        <f>IF(Data!M1120="CD",0,1)</f>
        <v>1</v>
      </c>
      <c r="Q1120" s="81">
        <f>IF(Data!Q1120&gt;Data!P1120,DATEDIF(Data!P1120,Data!Q1120,"d"),0)</f>
        <v>0</v>
      </c>
      <c r="R1120" s="81">
        <f>IF(Data!R1120&gt;Data!Q1120,DATEDIF(Data!Q1120,Data!R1120,"d"),0)</f>
        <v>0</v>
      </c>
    </row>
    <row r="1121" spans="3:18" x14ac:dyDescent="0.2">
      <c r="C1121" s="80">
        <f t="shared" ca="1" si="36"/>
        <v>45959</v>
      </c>
      <c r="D1121" s="81">
        <f>IF(Data!I1121&lt;&gt;"",DATEDIF(Data!I1121,C1121,"m"),0)</f>
        <v>0</v>
      </c>
      <c r="E1121" s="82">
        <f t="shared" si="37"/>
        <v>0</v>
      </c>
      <c r="I1121" s="81" t="str">
        <f>CONCATENATE(Data!M1121,"-",Data!L1121)</f>
        <v>-</v>
      </c>
      <c r="N1121" s="81">
        <f>IF(Data!P1121,DATEDIF(Data!O1121,Data!P1121,"d"),0)</f>
        <v>0</v>
      </c>
      <c r="O1121" s="81">
        <f>IF(Data!M1121="CD",1,0)</f>
        <v>0</v>
      </c>
      <c r="P1121" s="81">
        <f>IF(Data!M1121="CD",0,1)</f>
        <v>1</v>
      </c>
      <c r="Q1121" s="81">
        <f>IF(Data!Q1121&gt;Data!P1121,DATEDIF(Data!P1121,Data!Q1121,"d"),0)</f>
        <v>0</v>
      </c>
      <c r="R1121" s="81">
        <f>IF(Data!R1121&gt;Data!Q1121,DATEDIF(Data!Q1121,Data!R1121,"d"),0)</f>
        <v>0</v>
      </c>
    </row>
    <row r="1122" spans="3:18" x14ac:dyDescent="0.2">
      <c r="C1122" s="80">
        <f t="shared" ca="1" si="36"/>
        <v>45959</v>
      </c>
      <c r="D1122" s="81">
        <f>IF(Data!I1122&lt;&gt;"",DATEDIF(Data!I1122,C1122,"m"),0)</f>
        <v>0</v>
      </c>
      <c r="E1122" s="82">
        <f t="shared" si="37"/>
        <v>0</v>
      </c>
      <c r="I1122" s="81" t="str">
        <f>CONCATENATE(Data!M1122,"-",Data!L1122)</f>
        <v>-</v>
      </c>
      <c r="N1122" s="81">
        <f>IF(Data!P1122,DATEDIF(Data!O1122,Data!P1122,"d"),0)</f>
        <v>0</v>
      </c>
      <c r="O1122" s="81">
        <f>IF(Data!M1122="CD",1,0)</f>
        <v>0</v>
      </c>
      <c r="P1122" s="81">
        <f>IF(Data!M1122="CD",0,1)</f>
        <v>1</v>
      </c>
      <c r="Q1122" s="81">
        <f>IF(Data!Q1122&gt;Data!P1122,DATEDIF(Data!P1122,Data!Q1122,"d"),0)</f>
        <v>0</v>
      </c>
      <c r="R1122" s="81">
        <f>IF(Data!R1122&gt;Data!Q1122,DATEDIF(Data!Q1122,Data!R1122,"d"),0)</f>
        <v>0</v>
      </c>
    </row>
    <row r="1123" spans="3:18" x14ac:dyDescent="0.2">
      <c r="C1123" s="80">
        <f t="shared" ca="1" si="36"/>
        <v>45959</v>
      </c>
      <c r="D1123" s="81">
        <f>IF(Data!I1123&lt;&gt;"",DATEDIF(Data!I1123,C1123,"m"),0)</f>
        <v>0</v>
      </c>
      <c r="E1123" s="82">
        <f t="shared" si="37"/>
        <v>0</v>
      </c>
      <c r="I1123" s="81" t="str">
        <f>CONCATENATE(Data!M1123,"-",Data!L1123)</f>
        <v>-</v>
      </c>
      <c r="N1123" s="81">
        <f>IF(Data!P1123,DATEDIF(Data!O1123,Data!P1123,"d"),0)</f>
        <v>0</v>
      </c>
      <c r="O1123" s="81">
        <f>IF(Data!M1123="CD",1,0)</f>
        <v>0</v>
      </c>
      <c r="P1123" s="81">
        <f>IF(Data!M1123="CD",0,1)</f>
        <v>1</v>
      </c>
      <c r="Q1123" s="81">
        <f>IF(Data!Q1123&gt;Data!P1123,DATEDIF(Data!P1123,Data!Q1123,"d"),0)</f>
        <v>0</v>
      </c>
      <c r="R1123" s="81">
        <f>IF(Data!R1123&gt;Data!Q1123,DATEDIF(Data!Q1123,Data!R1123,"d"),0)</f>
        <v>0</v>
      </c>
    </row>
    <row r="1124" spans="3:18" x14ac:dyDescent="0.2">
      <c r="C1124" s="80">
        <f t="shared" ca="1" si="36"/>
        <v>45959</v>
      </c>
      <c r="D1124" s="81">
        <f>IF(Data!I1124&lt;&gt;"",DATEDIF(Data!I1124,C1124,"m"),0)</f>
        <v>0</v>
      </c>
      <c r="E1124" s="82">
        <f t="shared" si="37"/>
        <v>0</v>
      </c>
      <c r="I1124" s="81" t="str">
        <f>CONCATENATE(Data!M1124,"-",Data!L1124)</f>
        <v>-</v>
      </c>
      <c r="N1124" s="81">
        <f>IF(Data!P1124,DATEDIF(Data!O1124,Data!P1124,"d"),0)</f>
        <v>0</v>
      </c>
      <c r="O1124" s="81">
        <f>IF(Data!M1124="CD",1,0)</f>
        <v>0</v>
      </c>
      <c r="P1124" s="81">
        <f>IF(Data!M1124="CD",0,1)</f>
        <v>1</v>
      </c>
      <c r="Q1124" s="81">
        <f>IF(Data!Q1124&gt;Data!P1124,DATEDIF(Data!P1124,Data!Q1124,"d"),0)</f>
        <v>0</v>
      </c>
      <c r="R1124" s="81">
        <f>IF(Data!R1124&gt;Data!Q1124,DATEDIF(Data!Q1124,Data!R1124,"d"),0)</f>
        <v>0</v>
      </c>
    </row>
    <row r="1125" spans="3:18" x14ac:dyDescent="0.2">
      <c r="C1125" s="80">
        <f t="shared" ca="1" si="36"/>
        <v>45959</v>
      </c>
      <c r="D1125" s="81">
        <f>IF(Data!I1125&lt;&gt;"",DATEDIF(Data!I1125,C1125,"m"),0)</f>
        <v>0</v>
      </c>
      <c r="E1125" s="82">
        <f t="shared" si="37"/>
        <v>0</v>
      </c>
      <c r="I1125" s="81" t="str">
        <f>CONCATENATE(Data!M1125,"-",Data!L1125)</f>
        <v>-</v>
      </c>
      <c r="N1125" s="81">
        <f>IF(Data!P1125,DATEDIF(Data!O1125,Data!P1125,"d"),0)</f>
        <v>0</v>
      </c>
      <c r="O1125" s="81">
        <f>IF(Data!M1125="CD",1,0)</f>
        <v>0</v>
      </c>
      <c r="P1125" s="81">
        <f>IF(Data!M1125="CD",0,1)</f>
        <v>1</v>
      </c>
      <c r="Q1125" s="81">
        <f>IF(Data!Q1125&gt;Data!P1125,DATEDIF(Data!P1125,Data!Q1125,"d"),0)</f>
        <v>0</v>
      </c>
      <c r="R1125" s="81">
        <f>IF(Data!R1125&gt;Data!Q1125,DATEDIF(Data!Q1125,Data!R1125,"d"),0)</f>
        <v>0</v>
      </c>
    </row>
    <row r="1126" spans="3:18" x14ac:dyDescent="0.2">
      <c r="C1126" s="80">
        <f t="shared" ca="1" si="36"/>
        <v>45959</v>
      </c>
      <c r="D1126" s="81">
        <f>IF(Data!I1126&lt;&gt;"",DATEDIF(Data!I1126,C1126,"m"),0)</f>
        <v>0</v>
      </c>
      <c r="E1126" s="82">
        <f t="shared" si="37"/>
        <v>0</v>
      </c>
      <c r="I1126" s="81" t="str">
        <f>CONCATENATE(Data!M1126,"-",Data!L1126)</f>
        <v>-</v>
      </c>
      <c r="N1126" s="81">
        <f>IF(Data!P1126,DATEDIF(Data!O1126,Data!P1126,"d"),0)</f>
        <v>0</v>
      </c>
      <c r="O1126" s="81">
        <f>IF(Data!M1126="CD",1,0)</f>
        <v>0</v>
      </c>
      <c r="P1126" s="81">
        <f>IF(Data!M1126="CD",0,1)</f>
        <v>1</v>
      </c>
      <c r="Q1126" s="81">
        <f>IF(Data!Q1126&gt;Data!P1126,DATEDIF(Data!P1126,Data!Q1126,"d"),0)</f>
        <v>0</v>
      </c>
      <c r="R1126" s="81">
        <f>IF(Data!R1126&gt;Data!Q1126,DATEDIF(Data!Q1126,Data!R1126,"d"),0)</f>
        <v>0</v>
      </c>
    </row>
    <row r="1127" spans="3:18" x14ac:dyDescent="0.2">
      <c r="C1127" s="80">
        <f t="shared" ca="1" si="36"/>
        <v>45959</v>
      </c>
      <c r="D1127" s="81">
        <f>IF(Data!I1127&lt;&gt;"",DATEDIF(Data!I1127,C1127,"m"),0)</f>
        <v>0</v>
      </c>
      <c r="E1127" s="82">
        <f t="shared" si="37"/>
        <v>0</v>
      </c>
      <c r="I1127" s="81" t="str">
        <f>CONCATENATE(Data!M1127,"-",Data!L1127)</f>
        <v>-</v>
      </c>
      <c r="N1127" s="81">
        <f>IF(Data!P1127,DATEDIF(Data!O1127,Data!P1127,"d"),0)</f>
        <v>0</v>
      </c>
      <c r="O1127" s="81">
        <f>IF(Data!M1127="CD",1,0)</f>
        <v>0</v>
      </c>
      <c r="P1127" s="81">
        <f>IF(Data!M1127="CD",0,1)</f>
        <v>1</v>
      </c>
      <c r="Q1127" s="81">
        <f>IF(Data!Q1127&gt;Data!P1127,DATEDIF(Data!P1127,Data!Q1127,"d"),0)</f>
        <v>0</v>
      </c>
      <c r="R1127" s="81">
        <f>IF(Data!R1127&gt;Data!Q1127,DATEDIF(Data!Q1127,Data!R1127,"d"),0)</f>
        <v>0</v>
      </c>
    </row>
    <row r="1128" spans="3:18" x14ac:dyDescent="0.2">
      <c r="C1128" s="80">
        <f t="shared" ca="1" si="36"/>
        <v>45959</v>
      </c>
      <c r="D1128" s="81">
        <f>IF(Data!I1128&lt;&gt;"",DATEDIF(Data!I1128,C1128,"m"),0)</f>
        <v>0</v>
      </c>
      <c r="E1128" s="82">
        <f t="shared" si="37"/>
        <v>0</v>
      </c>
      <c r="I1128" s="81" t="str">
        <f>CONCATENATE(Data!M1128,"-",Data!L1128)</f>
        <v>-</v>
      </c>
      <c r="N1128" s="81">
        <f>IF(Data!P1128,DATEDIF(Data!O1128,Data!P1128,"d"),0)</f>
        <v>0</v>
      </c>
      <c r="O1128" s="81">
        <f>IF(Data!M1128="CD",1,0)</f>
        <v>0</v>
      </c>
      <c r="P1128" s="81">
        <f>IF(Data!M1128="CD",0,1)</f>
        <v>1</v>
      </c>
      <c r="Q1128" s="81">
        <f>IF(Data!Q1128&gt;Data!P1128,DATEDIF(Data!P1128,Data!Q1128,"d"),0)</f>
        <v>0</v>
      </c>
      <c r="R1128" s="81">
        <f>IF(Data!R1128&gt;Data!Q1128,DATEDIF(Data!Q1128,Data!R1128,"d"),0)</f>
        <v>0</v>
      </c>
    </row>
    <row r="1129" spans="3:18" x14ac:dyDescent="0.2">
      <c r="C1129" s="80">
        <f t="shared" ca="1" si="36"/>
        <v>45959</v>
      </c>
      <c r="D1129" s="81">
        <f>IF(Data!I1129&lt;&gt;"",DATEDIF(Data!I1129,C1129,"m"),0)</f>
        <v>0</v>
      </c>
      <c r="E1129" s="82">
        <f t="shared" si="37"/>
        <v>0</v>
      </c>
      <c r="I1129" s="81" t="str">
        <f>CONCATENATE(Data!M1129,"-",Data!L1129)</f>
        <v>-</v>
      </c>
      <c r="N1129" s="81">
        <f>IF(Data!P1129,DATEDIF(Data!O1129,Data!P1129,"d"),0)</f>
        <v>0</v>
      </c>
      <c r="O1129" s="81">
        <f>IF(Data!M1129="CD",1,0)</f>
        <v>0</v>
      </c>
      <c r="P1129" s="81">
        <f>IF(Data!M1129="CD",0,1)</f>
        <v>1</v>
      </c>
      <c r="Q1129" s="81">
        <f>IF(Data!Q1129&gt;Data!P1129,DATEDIF(Data!P1129,Data!Q1129,"d"),0)</f>
        <v>0</v>
      </c>
      <c r="R1129" s="81">
        <f>IF(Data!R1129&gt;Data!Q1129,DATEDIF(Data!Q1129,Data!R1129,"d"),0)</f>
        <v>0</v>
      </c>
    </row>
    <row r="1130" spans="3:18" x14ac:dyDescent="0.2">
      <c r="C1130" s="80">
        <f t="shared" ca="1" si="36"/>
        <v>45959</v>
      </c>
      <c r="D1130" s="81">
        <f>IF(Data!I1130&lt;&gt;"",DATEDIF(Data!I1130,C1130,"m"),0)</f>
        <v>0</v>
      </c>
      <c r="E1130" s="82">
        <f t="shared" si="37"/>
        <v>0</v>
      </c>
      <c r="I1130" s="81" t="str">
        <f>CONCATENATE(Data!M1130,"-",Data!L1130)</f>
        <v>-</v>
      </c>
      <c r="N1130" s="81">
        <f>IF(Data!P1130,DATEDIF(Data!O1130,Data!P1130,"d"),0)</f>
        <v>0</v>
      </c>
      <c r="O1130" s="81">
        <f>IF(Data!M1130="CD",1,0)</f>
        <v>0</v>
      </c>
      <c r="P1130" s="81">
        <f>IF(Data!M1130="CD",0,1)</f>
        <v>1</v>
      </c>
      <c r="Q1130" s="81">
        <f>IF(Data!Q1130&gt;Data!P1130,DATEDIF(Data!P1130,Data!Q1130,"d"),0)</f>
        <v>0</v>
      </c>
      <c r="R1130" s="81">
        <f>IF(Data!R1130&gt;Data!Q1130,DATEDIF(Data!Q1130,Data!R1130,"d"),0)</f>
        <v>0</v>
      </c>
    </row>
    <row r="1131" spans="3:18" x14ac:dyDescent="0.2">
      <c r="C1131" s="80">
        <f t="shared" ca="1" si="36"/>
        <v>45959</v>
      </c>
      <c r="D1131" s="81">
        <f>IF(Data!I1131&lt;&gt;"",DATEDIF(Data!I1131,C1131,"m"),0)</f>
        <v>0</v>
      </c>
      <c r="E1131" s="82">
        <f t="shared" si="37"/>
        <v>0</v>
      </c>
      <c r="I1131" s="81" t="str">
        <f>CONCATENATE(Data!M1131,"-",Data!L1131)</f>
        <v>-</v>
      </c>
      <c r="N1131" s="81">
        <f>IF(Data!P1131,DATEDIF(Data!O1131,Data!P1131,"d"),0)</f>
        <v>0</v>
      </c>
      <c r="O1131" s="81">
        <f>IF(Data!M1131="CD",1,0)</f>
        <v>0</v>
      </c>
      <c r="P1131" s="81">
        <f>IF(Data!M1131="CD",0,1)</f>
        <v>1</v>
      </c>
      <c r="Q1131" s="81">
        <f>IF(Data!Q1131&gt;Data!P1131,DATEDIF(Data!P1131,Data!Q1131,"d"),0)</f>
        <v>0</v>
      </c>
      <c r="R1131" s="81">
        <f>IF(Data!R1131&gt;Data!Q1131,DATEDIF(Data!Q1131,Data!R1131,"d"),0)</f>
        <v>0</v>
      </c>
    </row>
    <row r="1132" spans="3:18" x14ac:dyDescent="0.2">
      <c r="C1132" s="80">
        <f t="shared" ca="1" si="36"/>
        <v>45959</v>
      </c>
      <c r="D1132" s="81">
        <f>IF(Data!I1132&lt;&gt;"",DATEDIF(Data!I1132,C1132,"m"),0)</f>
        <v>0</v>
      </c>
      <c r="E1132" s="82">
        <f t="shared" si="37"/>
        <v>0</v>
      </c>
      <c r="I1132" s="81" t="str">
        <f>CONCATENATE(Data!M1132,"-",Data!L1132)</f>
        <v>-</v>
      </c>
      <c r="N1132" s="81">
        <f>IF(Data!P1132,DATEDIF(Data!O1132,Data!P1132,"d"),0)</f>
        <v>0</v>
      </c>
      <c r="O1132" s="81">
        <f>IF(Data!M1132="CD",1,0)</f>
        <v>0</v>
      </c>
      <c r="P1132" s="81">
        <f>IF(Data!M1132="CD",0,1)</f>
        <v>1</v>
      </c>
      <c r="Q1132" s="81">
        <f>IF(Data!Q1132&gt;Data!P1132,DATEDIF(Data!P1132,Data!Q1132,"d"),0)</f>
        <v>0</v>
      </c>
      <c r="R1132" s="81">
        <f>IF(Data!R1132&gt;Data!Q1132,DATEDIF(Data!Q1132,Data!R1132,"d"),0)</f>
        <v>0</v>
      </c>
    </row>
    <row r="1133" spans="3:18" x14ac:dyDescent="0.2">
      <c r="C1133" s="80">
        <f t="shared" ca="1" si="36"/>
        <v>45959</v>
      </c>
      <c r="D1133" s="81">
        <f>IF(Data!I1133&lt;&gt;"",DATEDIF(Data!I1133,C1133,"m"),0)</f>
        <v>0</v>
      </c>
      <c r="E1133" s="82">
        <f t="shared" si="37"/>
        <v>0</v>
      </c>
      <c r="I1133" s="81" t="str">
        <f>CONCATENATE(Data!M1133,"-",Data!L1133)</f>
        <v>-</v>
      </c>
      <c r="N1133" s="81">
        <f>IF(Data!P1133,DATEDIF(Data!O1133,Data!P1133,"d"),0)</f>
        <v>0</v>
      </c>
      <c r="O1133" s="81">
        <f>IF(Data!M1133="CD",1,0)</f>
        <v>0</v>
      </c>
      <c r="P1133" s="81">
        <f>IF(Data!M1133="CD",0,1)</f>
        <v>1</v>
      </c>
      <c r="Q1133" s="81">
        <f>IF(Data!Q1133&gt;Data!P1133,DATEDIF(Data!P1133,Data!Q1133,"d"),0)</f>
        <v>0</v>
      </c>
      <c r="R1133" s="81">
        <f>IF(Data!R1133&gt;Data!Q1133,DATEDIF(Data!Q1133,Data!R1133,"d"),0)</f>
        <v>0</v>
      </c>
    </row>
    <row r="1134" spans="3:18" x14ac:dyDescent="0.2">
      <c r="C1134" s="80">
        <f t="shared" ca="1" si="36"/>
        <v>45959</v>
      </c>
      <c r="D1134" s="81">
        <f>IF(Data!I1134&lt;&gt;"",DATEDIF(Data!I1134,C1134,"m"),0)</f>
        <v>0</v>
      </c>
      <c r="E1134" s="82">
        <f t="shared" si="37"/>
        <v>0</v>
      </c>
      <c r="I1134" s="81" t="str">
        <f>CONCATENATE(Data!M1134,"-",Data!L1134)</f>
        <v>-</v>
      </c>
      <c r="N1134" s="81">
        <f>IF(Data!P1134,DATEDIF(Data!O1134,Data!P1134,"d"),0)</f>
        <v>0</v>
      </c>
      <c r="O1134" s="81">
        <f>IF(Data!M1134="CD",1,0)</f>
        <v>0</v>
      </c>
      <c r="P1134" s="81">
        <f>IF(Data!M1134="CD",0,1)</f>
        <v>1</v>
      </c>
      <c r="Q1134" s="81">
        <f>IF(Data!Q1134&gt;Data!P1134,DATEDIF(Data!P1134,Data!Q1134,"d"),0)</f>
        <v>0</v>
      </c>
      <c r="R1134" s="81">
        <f>IF(Data!R1134&gt;Data!Q1134,DATEDIF(Data!Q1134,Data!R1134,"d"),0)</f>
        <v>0</v>
      </c>
    </row>
    <row r="1135" spans="3:18" x14ac:dyDescent="0.2">
      <c r="C1135" s="80">
        <f t="shared" ca="1" si="36"/>
        <v>45959</v>
      </c>
      <c r="D1135" s="81">
        <f>IF(Data!I1135&lt;&gt;"",DATEDIF(Data!I1135,C1135,"m"),0)</f>
        <v>0</v>
      </c>
      <c r="E1135" s="82">
        <f t="shared" si="37"/>
        <v>0</v>
      </c>
      <c r="I1135" s="81" t="str">
        <f>CONCATENATE(Data!M1135,"-",Data!L1135)</f>
        <v>-</v>
      </c>
      <c r="N1135" s="81">
        <f>IF(Data!P1135,DATEDIF(Data!O1135,Data!P1135,"d"),0)</f>
        <v>0</v>
      </c>
      <c r="O1135" s="81">
        <f>IF(Data!M1135="CD",1,0)</f>
        <v>0</v>
      </c>
      <c r="P1135" s="81">
        <f>IF(Data!M1135="CD",0,1)</f>
        <v>1</v>
      </c>
      <c r="Q1135" s="81">
        <f>IF(Data!Q1135&gt;Data!P1135,DATEDIF(Data!P1135,Data!Q1135,"d"),0)</f>
        <v>0</v>
      </c>
      <c r="R1135" s="81">
        <f>IF(Data!R1135&gt;Data!Q1135,DATEDIF(Data!Q1135,Data!R1135,"d"),0)</f>
        <v>0</v>
      </c>
    </row>
    <row r="1136" spans="3:18" x14ac:dyDescent="0.2">
      <c r="C1136" s="80">
        <f t="shared" ca="1" si="36"/>
        <v>45959</v>
      </c>
      <c r="D1136" s="81">
        <f>IF(Data!I1136&lt;&gt;"",DATEDIF(Data!I1136,C1136,"m"),0)</f>
        <v>0</v>
      </c>
      <c r="E1136" s="82">
        <f t="shared" si="37"/>
        <v>0</v>
      </c>
      <c r="I1136" s="81" t="str">
        <f>CONCATENATE(Data!M1136,"-",Data!L1136)</f>
        <v>-</v>
      </c>
      <c r="N1136" s="81">
        <f>IF(Data!P1136,DATEDIF(Data!O1136,Data!P1136,"d"),0)</f>
        <v>0</v>
      </c>
      <c r="O1136" s="81">
        <f>IF(Data!M1136="CD",1,0)</f>
        <v>0</v>
      </c>
      <c r="P1136" s="81">
        <f>IF(Data!M1136="CD",0,1)</f>
        <v>1</v>
      </c>
      <c r="Q1136" s="81">
        <f>IF(Data!Q1136&gt;Data!P1136,DATEDIF(Data!P1136,Data!Q1136,"d"),0)</f>
        <v>0</v>
      </c>
      <c r="R1136" s="81">
        <f>IF(Data!R1136&gt;Data!Q1136,DATEDIF(Data!Q1136,Data!R1136,"d"),0)</f>
        <v>0</v>
      </c>
    </row>
    <row r="1137" spans="3:18" x14ac:dyDescent="0.2">
      <c r="C1137" s="80">
        <f t="shared" ca="1" si="36"/>
        <v>45959</v>
      </c>
      <c r="D1137" s="81">
        <f>IF(Data!I1137&lt;&gt;"",DATEDIF(Data!I1137,C1137,"m"),0)</f>
        <v>0</v>
      </c>
      <c r="E1137" s="82">
        <f t="shared" si="37"/>
        <v>0</v>
      </c>
      <c r="I1137" s="81" t="str">
        <f>CONCATENATE(Data!M1137,"-",Data!L1137)</f>
        <v>-</v>
      </c>
      <c r="N1137" s="81">
        <f>IF(Data!P1137,DATEDIF(Data!O1137,Data!P1137,"d"),0)</f>
        <v>0</v>
      </c>
      <c r="O1137" s="81">
        <f>IF(Data!M1137="CD",1,0)</f>
        <v>0</v>
      </c>
      <c r="P1137" s="81">
        <f>IF(Data!M1137="CD",0,1)</f>
        <v>1</v>
      </c>
      <c r="Q1137" s="81">
        <f>IF(Data!Q1137&gt;Data!P1137,DATEDIF(Data!P1137,Data!Q1137,"d"),0)</f>
        <v>0</v>
      </c>
      <c r="R1137" s="81">
        <f>IF(Data!R1137&gt;Data!Q1137,DATEDIF(Data!Q1137,Data!R1137,"d"),0)</f>
        <v>0</v>
      </c>
    </row>
    <row r="1138" spans="3:18" x14ac:dyDescent="0.2">
      <c r="C1138" s="80">
        <f t="shared" ca="1" si="36"/>
        <v>45959</v>
      </c>
      <c r="D1138" s="81">
        <f>IF(Data!I1138&lt;&gt;"",DATEDIF(Data!I1138,C1138,"m"),0)</f>
        <v>0</v>
      </c>
      <c r="E1138" s="82">
        <f t="shared" si="37"/>
        <v>0</v>
      </c>
      <c r="I1138" s="81" t="str">
        <f>CONCATENATE(Data!M1138,"-",Data!L1138)</f>
        <v>-</v>
      </c>
      <c r="N1138" s="81">
        <f>IF(Data!P1138,DATEDIF(Data!O1138,Data!P1138,"d"),0)</f>
        <v>0</v>
      </c>
      <c r="O1138" s="81">
        <f>IF(Data!M1138="CD",1,0)</f>
        <v>0</v>
      </c>
      <c r="P1138" s="81">
        <f>IF(Data!M1138="CD",0,1)</f>
        <v>1</v>
      </c>
      <c r="Q1138" s="81">
        <f>IF(Data!Q1138&gt;Data!P1138,DATEDIF(Data!P1138,Data!Q1138,"d"),0)</f>
        <v>0</v>
      </c>
      <c r="R1138" s="81">
        <f>IF(Data!R1138&gt;Data!Q1138,DATEDIF(Data!Q1138,Data!R1138,"d"),0)</f>
        <v>0</v>
      </c>
    </row>
    <row r="1139" spans="3:18" x14ac:dyDescent="0.2">
      <c r="C1139" s="80">
        <f t="shared" ca="1" si="36"/>
        <v>45959</v>
      </c>
      <c r="D1139" s="81">
        <f>IF(Data!I1139&lt;&gt;"",DATEDIF(Data!I1139,C1139,"m"),0)</f>
        <v>0</v>
      </c>
      <c r="E1139" s="82">
        <f t="shared" si="37"/>
        <v>0</v>
      </c>
      <c r="I1139" s="81" t="str">
        <f>CONCATENATE(Data!M1139,"-",Data!L1139)</f>
        <v>-</v>
      </c>
      <c r="N1139" s="81">
        <f>IF(Data!P1139,DATEDIF(Data!O1139,Data!P1139,"d"),0)</f>
        <v>0</v>
      </c>
      <c r="O1139" s="81">
        <f>IF(Data!M1139="CD",1,0)</f>
        <v>0</v>
      </c>
      <c r="P1139" s="81">
        <f>IF(Data!M1139="CD",0,1)</f>
        <v>1</v>
      </c>
      <c r="Q1139" s="81">
        <f>IF(Data!Q1139&gt;Data!P1139,DATEDIF(Data!P1139,Data!Q1139,"d"),0)</f>
        <v>0</v>
      </c>
      <c r="R1139" s="81">
        <f>IF(Data!R1139&gt;Data!Q1139,DATEDIF(Data!Q1139,Data!R1139,"d"),0)</f>
        <v>0</v>
      </c>
    </row>
    <row r="1140" spans="3:18" x14ac:dyDescent="0.2">
      <c r="C1140" s="80">
        <f t="shared" ca="1" si="36"/>
        <v>45959</v>
      </c>
      <c r="D1140" s="81">
        <f>IF(Data!I1140&lt;&gt;"",DATEDIF(Data!I1140,C1140,"m"),0)</f>
        <v>0</v>
      </c>
      <c r="E1140" s="82">
        <f t="shared" si="37"/>
        <v>0</v>
      </c>
      <c r="I1140" s="81" t="str">
        <f>CONCATENATE(Data!M1140,"-",Data!L1140)</f>
        <v>-</v>
      </c>
      <c r="N1140" s="81">
        <f>IF(Data!P1140,DATEDIF(Data!O1140,Data!P1140,"d"),0)</f>
        <v>0</v>
      </c>
      <c r="O1140" s="81">
        <f>IF(Data!M1140="CD",1,0)</f>
        <v>0</v>
      </c>
      <c r="P1140" s="81">
        <f>IF(Data!M1140="CD",0,1)</f>
        <v>1</v>
      </c>
      <c r="Q1140" s="81">
        <f>IF(Data!Q1140&gt;Data!P1140,DATEDIF(Data!P1140,Data!Q1140,"d"),0)</f>
        <v>0</v>
      </c>
      <c r="R1140" s="81">
        <f>IF(Data!R1140&gt;Data!Q1140,DATEDIF(Data!Q1140,Data!R1140,"d"),0)</f>
        <v>0</v>
      </c>
    </row>
    <row r="1141" spans="3:18" x14ac:dyDescent="0.2">
      <c r="C1141" s="80">
        <f t="shared" ca="1" si="36"/>
        <v>45959</v>
      </c>
      <c r="D1141" s="81">
        <f>IF(Data!I1141&lt;&gt;"",DATEDIF(Data!I1141,C1141,"m"),0)</f>
        <v>0</v>
      </c>
      <c r="E1141" s="82">
        <f t="shared" si="37"/>
        <v>0</v>
      </c>
      <c r="I1141" s="81" t="str">
        <f>CONCATENATE(Data!M1141,"-",Data!L1141)</f>
        <v>-</v>
      </c>
      <c r="N1141" s="81">
        <f>IF(Data!P1141,DATEDIF(Data!O1141,Data!P1141,"d"),0)</f>
        <v>0</v>
      </c>
      <c r="O1141" s="81">
        <f>IF(Data!M1141="CD",1,0)</f>
        <v>0</v>
      </c>
      <c r="P1141" s="81">
        <f>IF(Data!M1141="CD",0,1)</f>
        <v>1</v>
      </c>
      <c r="Q1141" s="81">
        <f>IF(Data!Q1141&gt;Data!P1141,DATEDIF(Data!P1141,Data!Q1141,"d"),0)</f>
        <v>0</v>
      </c>
      <c r="R1141" s="81">
        <f>IF(Data!R1141&gt;Data!Q1141,DATEDIF(Data!Q1141,Data!R1141,"d"),0)</f>
        <v>0</v>
      </c>
    </row>
    <row r="1142" spans="3:18" x14ac:dyDescent="0.2">
      <c r="C1142" s="80">
        <f t="shared" ca="1" si="36"/>
        <v>45959</v>
      </c>
      <c r="D1142" s="81">
        <f>IF(Data!I1142&lt;&gt;"",DATEDIF(Data!I1142,C1142,"m"),0)</f>
        <v>0</v>
      </c>
      <c r="E1142" s="82">
        <f t="shared" si="37"/>
        <v>0</v>
      </c>
      <c r="I1142" s="81" t="str">
        <f>CONCATENATE(Data!M1142,"-",Data!L1142)</f>
        <v>-</v>
      </c>
      <c r="N1142" s="81">
        <f>IF(Data!P1142,DATEDIF(Data!O1142,Data!P1142,"d"),0)</f>
        <v>0</v>
      </c>
      <c r="O1142" s="81">
        <f>IF(Data!M1142="CD",1,0)</f>
        <v>0</v>
      </c>
      <c r="P1142" s="81">
        <f>IF(Data!M1142="CD",0,1)</f>
        <v>1</v>
      </c>
      <c r="Q1142" s="81">
        <f>IF(Data!Q1142&gt;Data!P1142,DATEDIF(Data!P1142,Data!Q1142,"d"),0)</f>
        <v>0</v>
      </c>
      <c r="R1142" s="81">
        <f>IF(Data!R1142&gt;Data!Q1142,DATEDIF(Data!Q1142,Data!R1142,"d"),0)</f>
        <v>0</v>
      </c>
    </row>
    <row r="1143" spans="3:18" x14ac:dyDescent="0.2">
      <c r="C1143" s="80">
        <f t="shared" ca="1" si="36"/>
        <v>45959</v>
      </c>
      <c r="D1143" s="81">
        <f>IF(Data!I1143&lt;&gt;"",DATEDIF(Data!I1143,C1143,"m"),0)</f>
        <v>0</v>
      </c>
      <c r="E1143" s="82">
        <f t="shared" si="37"/>
        <v>0</v>
      </c>
      <c r="I1143" s="81" t="str">
        <f>CONCATENATE(Data!M1143,"-",Data!L1143)</f>
        <v>-</v>
      </c>
      <c r="N1143" s="81">
        <f>IF(Data!P1143,DATEDIF(Data!O1143,Data!P1143,"d"),0)</f>
        <v>0</v>
      </c>
      <c r="O1143" s="81">
        <f>IF(Data!M1143="CD",1,0)</f>
        <v>0</v>
      </c>
      <c r="P1143" s="81">
        <f>IF(Data!M1143="CD",0,1)</f>
        <v>1</v>
      </c>
      <c r="Q1143" s="81">
        <f>IF(Data!Q1143&gt;Data!P1143,DATEDIF(Data!P1143,Data!Q1143,"d"),0)</f>
        <v>0</v>
      </c>
      <c r="R1143" s="81">
        <f>IF(Data!R1143&gt;Data!Q1143,DATEDIF(Data!Q1143,Data!R1143,"d"),0)</f>
        <v>0</v>
      </c>
    </row>
    <row r="1144" spans="3:18" x14ac:dyDescent="0.2">
      <c r="C1144" s="80">
        <f t="shared" ca="1" si="36"/>
        <v>45959</v>
      </c>
      <c r="D1144" s="81">
        <f>IF(Data!I1144&lt;&gt;"",DATEDIF(Data!I1144,C1144,"m"),0)</f>
        <v>0</v>
      </c>
      <c r="E1144" s="82">
        <f t="shared" si="37"/>
        <v>0</v>
      </c>
      <c r="I1144" s="81" t="str">
        <f>CONCATENATE(Data!M1144,"-",Data!L1144)</f>
        <v>-</v>
      </c>
      <c r="N1144" s="81">
        <f>IF(Data!P1144,DATEDIF(Data!O1144,Data!P1144,"d"),0)</f>
        <v>0</v>
      </c>
      <c r="O1144" s="81">
        <f>IF(Data!M1144="CD",1,0)</f>
        <v>0</v>
      </c>
      <c r="P1144" s="81">
        <f>IF(Data!M1144="CD",0,1)</f>
        <v>1</v>
      </c>
      <c r="Q1144" s="81">
        <f>IF(Data!Q1144&gt;Data!P1144,DATEDIF(Data!P1144,Data!Q1144,"d"),0)</f>
        <v>0</v>
      </c>
      <c r="R1144" s="81">
        <f>IF(Data!R1144&gt;Data!Q1144,DATEDIF(Data!Q1144,Data!R1144,"d"),0)</f>
        <v>0</v>
      </c>
    </row>
    <row r="1145" spans="3:18" x14ac:dyDescent="0.2">
      <c r="C1145" s="80">
        <f t="shared" ca="1" si="36"/>
        <v>45959</v>
      </c>
      <c r="D1145" s="81">
        <f>IF(Data!I1145&lt;&gt;"",DATEDIF(Data!I1145,C1145,"m"),0)</f>
        <v>0</v>
      </c>
      <c r="E1145" s="82">
        <f t="shared" si="37"/>
        <v>0</v>
      </c>
      <c r="I1145" s="81" t="str">
        <f>CONCATENATE(Data!M1145,"-",Data!L1145)</f>
        <v>-</v>
      </c>
      <c r="N1145" s="81">
        <f>IF(Data!P1145,DATEDIF(Data!O1145,Data!P1145,"d"),0)</f>
        <v>0</v>
      </c>
      <c r="O1145" s="81">
        <f>IF(Data!M1145="CD",1,0)</f>
        <v>0</v>
      </c>
      <c r="P1145" s="81">
        <f>IF(Data!M1145="CD",0,1)</f>
        <v>1</v>
      </c>
      <c r="Q1145" s="81">
        <f>IF(Data!Q1145&gt;Data!P1145,DATEDIF(Data!P1145,Data!Q1145,"d"),0)</f>
        <v>0</v>
      </c>
      <c r="R1145" s="81">
        <f>IF(Data!R1145&gt;Data!Q1145,DATEDIF(Data!Q1145,Data!R1145,"d"),0)</f>
        <v>0</v>
      </c>
    </row>
    <row r="1146" spans="3:18" x14ac:dyDescent="0.2">
      <c r="C1146" s="80">
        <f t="shared" ca="1" si="36"/>
        <v>45959</v>
      </c>
      <c r="D1146" s="81">
        <f>IF(Data!I1146&lt;&gt;"",DATEDIF(Data!I1146,C1146,"m"),0)</f>
        <v>0</v>
      </c>
      <c r="E1146" s="82">
        <f t="shared" si="37"/>
        <v>0</v>
      </c>
      <c r="I1146" s="81" t="str">
        <f>CONCATENATE(Data!M1146,"-",Data!L1146)</f>
        <v>-</v>
      </c>
      <c r="N1146" s="81">
        <f>IF(Data!P1146,DATEDIF(Data!O1146,Data!P1146,"d"),0)</f>
        <v>0</v>
      </c>
      <c r="O1146" s="81">
        <f>IF(Data!M1146="CD",1,0)</f>
        <v>0</v>
      </c>
      <c r="P1146" s="81">
        <f>IF(Data!M1146="CD",0,1)</f>
        <v>1</v>
      </c>
      <c r="Q1146" s="81">
        <f>IF(Data!Q1146&gt;Data!P1146,DATEDIF(Data!P1146,Data!Q1146,"d"),0)</f>
        <v>0</v>
      </c>
      <c r="R1146" s="81">
        <f>IF(Data!R1146&gt;Data!Q1146,DATEDIF(Data!Q1146,Data!R1146,"d"),0)</f>
        <v>0</v>
      </c>
    </row>
    <row r="1147" spans="3:18" x14ac:dyDescent="0.2">
      <c r="C1147" s="80">
        <f t="shared" ca="1" si="36"/>
        <v>45959</v>
      </c>
      <c r="D1147" s="81">
        <f>IF(Data!I1147&lt;&gt;"",DATEDIF(Data!I1147,C1147,"m"),0)</f>
        <v>0</v>
      </c>
      <c r="E1147" s="82">
        <f t="shared" si="37"/>
        <v>0</v>
      </c>
      <c r="I1147" s="81" t="str">
        <f>CONCATENATE(Data!M1147,"-",Data!L1147)</f>
        <v>-</v>
      </c>
      <c r="N1147" s="81">
        <f>IF(Data!P1147,DATEDIF(Data!O1147,Data!P1147,"d"),0)</f>
        <v>0</v>
      </c>
      <c r="O1147" s="81">
        <f>IF(Data!M1147="CD",1,0)</f>
        <v>0</v>
      </c>
      <c r="P1147" s="81">
        <f>IF(Data!M1147="CD",0,1)</f>
        <v>1</v>
      </c>
      <c r="Q1147" s="81">
        <f>IF(Data!Q1147&gt;Data!P1147,DATEDIF(Data!P1147,Data!Q1147,"d"),0)</f>
        <v>0</v>
      </c>
      <c r="R1147" s="81">
        <f>IF(Data!R1147&gt;Data!Q1147,DATEDIF(Data!Q1147,Data!R1147,"d"),0)</f>
        <v>0</v>
      </c>
    </row>
    <row r="1148" spans="3:18" x14ac:dyDescent="0.2">
      <c r="C1148" s="80">
        <f t="shared" ca="1" si="36"/>
        <v>45959</v>
      </c>
      <c r="D1148" s="81">
        <f>IF(Data!I1148&lt;&gt;"",DATEDIF(Data!I1148,C1148,"m"),0)</f>
        <v>0</v>
      </c>
      <c r="E1148" s="82">
        <f t="shared" si="37"/>
        <v>0</v>
      </c>
      <c r="I1148" s="81" t="str">
        <f>CONCATENATE(Data!M1148,"-",Data!L1148)</f>
        <v>-</v>
      </c>
      <c r="N1148" s="81">
        <f>IF(Data!P1148,DATEDIF(Data!O1148,Data!P1148,"d"),0)</f>
        <v>0</v>
      </c>
      <c r="O1148" s="81">
        <f>IF(Data!M1148="CD",1,0)</f>
        <v>0</v>
      </c>
      <c r="P1148" s="81">
        <f>IF(Data!M1148="CD",0,1)</f>
        <v>1</v>
      </c>
      <c r="Q1148" s="81">
        <f>IF(Data!Q1148&gt;Data!P1148,DATEDIF(Data!P1148,Data!Q1148,"d"),0)</f>
        <v>0</v>
      </c>
      <c r="R1148" s="81">
        <f>IF(Data!R1148&gt;Data!Q1148,DATEDIF(Data!Q1148,Data!R1148,"d"),0)</f>
        <v>0</v>
      </c>
    </row>
    <row r="1149" spans="3:18" x14ac:dyDescent="0.2">
      <c r="C1149" s="80">
        <f t="shared" ca="1" si="36"/>
        <v>45959</v>
      </c>
      <c r="D1149" s="81">
        <f>IF(Data!I1149&lt;&gt;"",DATEDIF(Data!I1149,C1149,"m"),0)</f>
        <v>0</v>
      </c>
      <c r="E1149" s="82">
        <f t="shared" si="37"/>
        <v>0</v>
      </c>
      <c r="I1149" s="81" t="str">
        <f>CONCATENATE(Data!M1149,"-",Data!L1149)</f>
        <v>-</v>
      </c>
      <c r="N1149" s="81">
        <f>IF(Data!P1149,DATEDIF(Data!O1149,Data!P1149,"d"),0)</f>
        <v>0</v>
      </c>
      <c r="O1149" s="81">
        <f>IF(Data!M1149="CD",1,0)</f>
        <v>0</v>
      </c>
      <c r="P1149" s="81">
        <f>IF(Data!M1149="CD",0,1)</f>
        <v>1</v>
      </c>
      <c r="Q1149" s="81">
        <f>IF(Data!Q1149&gt;Data!P1149,DATEDIF(Data!P1149,Data!Q1149,"d"),0)</f>
        <v>0</v>
      </c>
      <c r="R1149" s="81">
        <f>IF(Data!R1149&gt;Data!Q1149,DATEDIF(Data!Q1149,Data!R1149,"d"),0)</f>
        <v>0</v>
      </c>
    </row>
    <row r="1150" spans="3:18" x14ac:dyDescent="0.2">
      <c r="C1150" s="80">
        <f t="shared" ca="1" si="36"/>
        <v>45959</v>
      </c>
      <c r="D1150" s="81">
        <f>IF(Data!I1150&lt;&gt;"",DATEDIF(Data!I1150,C1150,"m"),0)</f>
        <v>0</v>
      </c>
      <c r="E1150" s="82">
        <f t="shared" si="37"/>
        <v>0</v>
      </c>
      <c r="I1150" s="81" t="str">
        <f>CONCATENATE(Data!M1150,"-",Data!L1150)</f>
        <v>-</v>
      </c>
      <c r="N1150" s="81">
        <f>IF(Data!P1150,DATEDIF(Data!O1150,Data!P1150,"d"),0)</f>
        <v>0</v>
      </c>
      <c r="O1150" s="81">
        <f>IF(Data!M1150="CD",1,0)</f>
        <v>0</v>
      </c>
      <c r="P1150" s="81">
        <f>IF(Data!M1150="CD",0,1)</f>
        <v>1</v>
      </c>
      <c r="Q1150" s="81">
        <f>IF(Data!Q1150&gt;Data!P1150,DATEDIF(Data!P1150,Data!Q1150,"d"),0)</f>
        <v>0</v>
      </c>
      <c r="R1150" s="81">
        <f>IF(Data!R1150&gt;Data!Q1150,DATEDIF(Data!Q1150,Data!R1150,"d"),0)</f>
        <v>0</v>
      </c>
    </row>
    <row r="1151" spans="3:18" x14ac:dyDescent="0.2">
      <c r="C1151" s="80">
        <f t="shared" ca="1" si="36"/>
        <v>45959</v>
      </c>
      <c r="D1151" s="81">
        <f>IF(Data!I1151&lt;&gt;"",DATEDIF(Data!I1151,C1151,"m"),0)</f>
        <v>0</v>
      </c>
      <c r="E1151" s="82">
        <f t="shared" si="37"/>
        <v>0</v>
      </c>
      <c r="I1151" s="81" t="str">
        <f>CONCATENATE(Data!M1151,"-",Data!L1151)</f>
        <v>-</v>
      </c>
      <c r="N1151" s="81">
        <f>IF(Data!P1151,DATEDIF(Data!O1151,Data!P1151,"d"),0)</f>
        <v>0</v>
      </c>
      <c r="O1151" s="81">
        <f>IF(Data!M1151="CD",1,0)</f>
        <v>0</v>
      </c>
      <c r="P1151" s="81">
        <f>IF(Data!M1151="CD",0,1)</f>
        <v>1</v>
      </c>
      <c r="Q1151" s="81">
        <f>IF(Data!Q1151&gt;Data!P1151,DATEDIF(Data!P1151,Data!Q1151,"d"),0)</f>
        <v>0</v>
      </c>
      <c r="R1151" s="81">
        <f>IF(Data!R1151&gt;Data!Q1151,DATEDIF(Data!Q1151,Data!R1151,"d"),0)</f>
        <v>0</v>
      </c>
    </row>
    <row r="1152" spans="3:18" x14ac:dyDescent="0.2">
      <c r="C1152" s="80">
        <f t="shared" ca="1" si="36"/>
        <v>45959</v>
      </c>
      <c r="D1152" s="81">
        <f>IF(Data!I1152&lt;&gt;"",DATEDIF(Data!I1152,C1152,"m"),0)</f>
        <v>0</v>
      </c>
      <c r="E1152" s="82">
        <f t="shared" si="37"/>
        <v>0</v>
      </c>
      <c r="I1152" s="81" t="str">
        <f>CONCATENATE(Data!M1152,"-",Data!L1152)</f>
        <v>-</v>
      </c>
      <c r="N1152" s="81">
        <f>IF(Data!P1152,DATEDIF(Data!O1152,Data!P1152,"d"),0)</f>
        <v>0</v>
      </c>
      <c r="O1152" s="81">
        <f>IF(Data!M1152="CD",1,0)</f>
        <v>0</v>
      </c>
      <c r="P1152" s="81">
        <f>IF(Data!M1152="CD",0,1)</f>
        <v>1</v>
      </c>
      <c r="Q1152" s="81">
        <f>IF(Data!Q1152&gt;Data!P1152,DATEDIF(Data!P1152,Data!Q1152,"d"),0)</f>
        <v>0</v>
      </c>
      <c r="R1152" s="81">
        <f>IF(Data!R1152&gt;Data!Q1152,DATEDIF(Data!Q1152,Data!R1152,"d"),0)</f>
        <v>0</v>
      </c>
    </row>
    <row r="1153" spans="3:18" x14ac:dyDescent="0.2">
      <c r="C1153" s="80">
        <f t="shared" ca="1" si="36"/>
        <v>45959</v>
      </c>
      <c r="D1153" s="81">
        <f>IF(Data!I1153&lt;&gt;"",DATEDIF(Data!I1153,C1153,"m"),0)</f>
        <v>0</v>
      </c>
      <c r="E1153" s="82">
        <f t="shared" si="37"/>
        <v>0</v>
      </c>
      <c r="I1153" s="81" t="str">
        <f>CONCATENATE(Data!M1153,"-",Data!L1153)</f>
        <v>-</v>
      </c>
      <c r="N1153" s="81">
        <f>IF(Data!P1153,DATEDIF(Data!O1153,Data!P1153,"d"),0)</f>
        <v>0</v>
      </c>
      <c r="O1153" s="81">
        <f>IF(Data!M1153="CD",1,0)</f>
        <v>0</v>
      </c>
      <c r="P1153" s="81">
        <f>IF(Data!M1153="CD",0,1)</f>
        <v>1</v>
      </c>
      <c r="Q1153" s="81">
        <f>IF(Data!Q1153&gt;Data!P1153,DATEDIF(Data!P1153,Data!Q1153,"d"),0)</f>
        <v>0</v>
      </c>
      <c r="R1153" s="81">
        <f>IF(Data!R1153&gt;Data!Q1153,DATEDIF(Data!Q1153,Data!R1153,"d"),0)</f>
        <v>0</v>
      </c>
    </row>
    <row r="1154" spans="3:18" x14ac:dyDescent="0.2">
      <c r="C1154" s="80">
        <f t="shared" ref="C1154:C1217" ca="1" si="38">TODAY()</f>
        <v>45959</v>
      </c>
      <c r="D1154" s="81">
        <f>IF(Data!I1154&lt;&gt;"",DATEDIF(Data!I1154,C1154,"m"),0)</f>
        <v>0</v>
      </c>
      <c r="E1154" s="82">
        <f t="shared" si="37"/>
        <v>0</v>
      </c>
      <c r="I1154" s="81" t="str">
        <f>CONCATENATE(Data!M1154,"-",Data!L1154)</f>
        <v>-</v>
      </c>
      <c r="N1154" s="81">
        <f>IF(Data!P1154,DATEDIF(Data!O1154,Data!P1154,"d"),0)</f>
        <v>0</v>
      </c>
      <c r="O1154" s="81">
        <f>IF(Data!M1154="CD",1,0)</f>
        <v>0</v>
      </c>
      <c r="P1154" s="81">
        <f>IF(Data!M1154="CD",0,1)</f>
        <v>1</v>
      </c>
      <c r="Q1154" s="81">
        <f>IF(Data!Q1154&gt;Data!P1154,DATEDIF(Data!P1154,Data!Q1154,"d"),0)</f>
        <v>0</v>
      </c>
      <c r="R1154" s="81">
        <f>IF(Data!R1154&gt;Data!Q1154,DATEDIF(Data!Q1154,Data!R1154,"d"),0)</f>
        <v>0</v>
      </c>
    </row>
    <row r="1155" spans="3:18" x14ac:dyDescent="0.2">
      <c r="C1155" s="80">
        <f t="shared" ca="1" si="38"/>
        <v>45959</v>
      </c>
      <c r="D1155" s="81">
        <f>IF(Data!I1155&lt;&gt;"",DATEDIF(Data!I1155,C1155,"m"),0)</f>
        <v>0</v>
      </c>
      <c r="E1155" s="82">
        <f t="shared" ref="E1155:E1218" si="39">D1155/12</f>
        <v>0</v>
      </c>
      <c r="I1155" s="81" t="str">
        <f>CONCATENATE(Data!M1155,"-",Data!L1155)</f>
        <v>-</v>
      </c>
      <c r="N1155" s="81">
        <f>IF(Data!P1155,DATEDIF(Data!O1155,Data!P1155,"d"),0)</f>
        <v>0</v>
      </c>
      <c r="O1155" s="81">
        <f>IF(Data!M1155="CD",1,0)</f>
        <v>0</v>
      </c>
      <c r="P1155" s="81">
        <f>IF(Data!M1155="CD",0,1)</f>
        <v>1</v>
      </c>
      <c r="Q1155" s="81">
        <f>IF(Data!Q1155&gt;Data!P1155,DATEDIF(Data!P1155,Data!Q1155,"d"),0)</f>
        <v>0</v>
      </c>
      <c r="R1155" s="81">
        <f>IF(Data!R1155&gt;Data!Q1155,DATEDIF(Data!Q1155,Data!R1155,"d"),0)</f>
        <v>0</v>
      </c>
    </row>
    <row r="1156" spans="3:18" x14ac:dyDescent="0.2">
      <c r="C1156" s="80">
        <f t="shared" ca="1" si="38"/>
        <v>45959</v>
      </c>
      <c r="D1156" s="81">
        <f>IF(Data!I1156&lt;&gt;"",DATEDIF(Data!I1156,C1156,"m"),0)</f>
        <v>0</v>
      </c>
      <c r="E1156" s="82">
        <f t="shared" si="39"/>
        <v>0</v>
      </c>
      <c r="I1156" s="81" t="str">
        <f>CONCATENATE(Data!M1156,"-",Data!L1156)</f>
        <v>-</v>
      </c>
      <c r="N1156" s="81">
        <f>IF(Data!P1156,DATEDIF(Data!O1156,Data!P1156,"d"),0)</f>
        <v>0</v>
      </c>
      <c r="O1156" s="81">
        <f>IF(Data!M1156="CD",1,0)</f>
        <v>0</v>
      </c>
      <c r="P1156" s="81">
        <f>IF(Data!M1156="CD",0,1)</f>
        <v>1</v>
      </c>
      <c r="Q1156" s="81">
        <f>IF(Data!Q1156&gt;Data!P1156,DATEDIF(Data!P1156,Data!Q1156,"d"),0)</f>
        <v>0</v>
      </c>
      <c r="R1156" s="81">
        <f>IF(Data!R1156&gt;Data!Q1156,DATEDIF(Data!Q1156,Data!R1156,"d"),0)</f>
        <v>0</v>
      </c>
    </row>
    <row r="1157" spans="3:18" x14ac:dyDescent="0.2">
      <c r="C1157" s="80">
        <f t="shared" ca="1" si="38"/>
        <v>45959</v>
      </c>
      <c r="D1157" s="81">
        <f>IF(Data!I1157&lt;&gt;"",DATEDIF(Data!I1157,C1157,"m"),0)</f>
        <v>0</v>
      </c>
      <c r="E1157" s="82">
        <f t="shared" si="39"/>
        <v>0</v>
      </c>
      <c r="I1157" s="81" t="str">
        <f>CONCATENATE(Data!M1157,"-",Data!L1157)</f>
        <v>-</v>
      </c>
      <c r="N1157" s="81">
        <f>IF(Data!P1157,DATEDIF(Data!O1157,Data!P1157,"d"),0)</f>
        <v>0</v>
      </c>
      <c r="O1157" s="81">
        <f>IF(Data!M1157="CD",1,0)</f>
        <v>0</v>
      </c>
      <c r="P1157" s="81">
        <f>IF(Data!M1157="CD",0,1)</f>
        <v>1</v>
      </c>
      <c r="Q1157" s="81">
        <f>IF(Data!Q1157&gt;Data!P1157,DATEDIF(Data!P1157,Data!Q1157,"d"),0)</f>
        <v>0</v>
      </c>
      <c r="R1157" s="81">
        <f>IF(Data!R1157&gt;Data!Q1157,DATEDIF(Data!Q1157,Data!R1157,"d"),0)</f>
        <v>0</v>
      </c>
    </row>
    <row r="1158" spans="3:18" x14ac:dyDescent="0.2">
      <c r="C1158" s="80">
        <f t="shared" ca="1" si="38"/>
        <v>45959</v>
      </c>
      <c r="D1158" s="81">
        <f>IF(Data!I1158&lt;&gt;"",DATEDIF(Data!I1158,C1158,"m"),0)</f>
        <v>0</v>
      </c>
      <c r="E1158" s="82">
        <f t="shared" si="39"/>
        <v>0</v>
      </c>
      <c r="I1158" s="81" t="str">
        <f>CONCATENATE(Data!M1158,"-",Data!L1158)</f>
        <v>-</v>
      </c>
      <c r="N1158" s="81">
        <f>IF(Data!P1158,DATEDIF(Data!O1158,Data!P1158,"d"),0)</f>
        <v>0</v>
      </c>
      <c r="O1158" s="81">
        <f>IF(Data!M1158="CD",1,0)</f>
        <v>0</v>
      </c>
      <c r="P1158" s="81">
        <f>IF(Data!M1158="CD",0,1)</f>
        <v>1</v>
      </c>
      <c r="Q1158" s="81">
        <f>IF(Data!Q1158&gt;Data!P1158,DATEDIF(Data!P1158,Data!Q1158,"d"),0)</f>
        <v>0</v>
      </c>
      <c r="R1158" s="81">
        <f>IF(Data!R1158&gt;Data!Q1158,DATEDIF(Data!Q1158,Data!R1158,"d"),0)</f>
        <v>0</v>
      </c>
    </row>
    <row r="1159" spans="3:18" x14ac:dyDescent="0.2">
      <c r="C1159" s="80">
        <f t="shared" ca="1" si="38"/>
        <v>45959</v>
      </c>
      <c r="D1159" s="81">
        <f>IF(Data!I1159&lt;&gt;"",DATEDIF(Data!I1159,C1159,"m"),0)</f>
        <v>0</v>
      </c>
      <c r="E1159" s="82">
        <f t="shared" si="39"/>
        <v>0</v>
      </c>
      <c r="I1159" s="81" t="str">
        <f>CONCATENATE(Data!M1159,"-",Data!L1159)</f>
        <v>-</v>
      </c>
      <c r="N1159" s="81">
        <f>IF(Data!P1159,DATEDIF(Data!O1159,Data!P1159,"d"),0)</f>
        <v>0</v>
      </c>
      <c r="O1159" s="81">
        <f>IF(Data!M1159="CD",1,0)</f>
        <v>0</v>
      </c>
      <c r="P1159" s="81">
        <f>IF(Data!M1159="CD",0,1)</f>
        <v>1</v>
      </c>
      <c r="Q1159" s="81">
        <f>IF(Data!Q1159&gt;Data!P1159,DATEDIF(Data!P1159,Data!Q1159,"d"),0)</f>
        <v>0</v>
      </c>
      <c r="R1159" s="81">
        <f>IF(Data!R1159&gt;Data!Q1159,DATEDIF(Data!Q1159,Data!R1159,"d"),0)</f>
        <v>0</v>
      </c>
    </row>
    <row r="1160" spans="3:18" x14ac:dyDescent="0.2">
      <c r="C1160" s="80">
        <f t="shared" ca="1" si="38"/>
        <v>45959</v>
      </c>
      <c r="D1160" s="81">
        <f>IF(Data!I1160&lt;&gt;"",DATEDIF(Data!I1160,C1160,"m"),0)</f>
        <v>0</v>
      </c>
      <c r="E1160" s="82">
        <f t="shared" si="39"/>
        <v>0</v>
      </c>
      <c r="I1160" s="81" t="str">
        <f>CONCATENATE(Data!M1160,"-",Data!L1160)</f>
        <v>-</v>
      </c>
      <c r="N1160" s="81">
        <f>IF(Data!P1160,DATEDIF(Data!O1160,Data!P1160,"d"),0)</f>
        <v>0</v>
      </c>
      <c r="O1160" s="81">
        <f>IF(Data!M1160="CD",1,0)</f>
        <v>0</v>
      </c>
      <c r="P1160" s="81">
        <f>IF(Data!M1160="CD",0,1)</f>
        <v>1</v>
      </c>
      <c r="Q1160" s="81">
        <f>IF(Data!Q1160&gt;Data!P1160,DATEDIF(Data!P1160,Data!Q1160,"d"),0)</f>
        <v>0</v>
      </c>
      <c r="R1160" s="81">
        <f>IF(Data!R1160&gt;Data!Q1160,DATEDIF(Data!Q1160,Data!R1160,"d"),0)</f>
        <v>0</v>
      </c>
    </row>
    <row r="1161" spans="3:18" x14ac:dyDescent="0.2">
      <c r="C1161" s="80">
        <f t="shared" ca="1" si="38"/>
        <v>45959</v>
      </c>
      <c r="D1161" s="81">
        <f>IF(Data!I1161&lt;&gt;"",DATEDIF(Data!I1161,C1161,"m"),0)</f>
        <v>0</v>
      </c>
      <c r="E1161" s="82">
        <f t="shared" si="39"/>
        <v>0</v>
      </c>
      <c r="I1161" s="81" t="str">
        <f>CONCATENATE(Data!M1161,"-",Data!L1161)</f>
        <v>-</v>
      </c>
      <c r="N1161" s="81">
        <f>IF(Data!P1161,DATEDIF(Data!O1161,Data!P1161,"d"),0)</f>
        <v>0</v>
      </c>
      <c r="O1161" s="81">
        <f>IF(Data!M1161="CD",1,0)</f>
        <v>0</v>
      </c>
      <c r="P1161" s="81">
        <f>IF(Data!M1161="CD",0,1)</f>
        <v>1</v>
      </c>
      <c r="Q1161" s="81">
        <f>IF(Data!Q1161&gt;Data!P1161,DATEDIF(Data!P1161,Data!Q1161,"d"),0)</f>
        <v>0</v>
      </c>
      <c r="R1161" s="81">
        <f>IF(Data!R1161&gt;Data!Q1161,DATEDIF(Data!Q1161,Data!R1161,"d"),0)</f>
        <v>0</v>
      </c>
    </row>
    <row r="1162" spans="3:18" x14ac:dyDescent="0.2">
      <c r="C1162" s="80">
        <f t="shared" ca="1" si="38"/>
        <v>45959</v>
      </c>
      <c r="D1162" s="81">
        <f>IF(Data!I1162&lt;&gt;"",DATEDIF(Data!I1162,C1162,"m"),0)</f>
        <v>0</v>
      </c>
      <c r="E1162" s="82">
        <f t="shared" si="39"/>
        <v>0</v>
      </c>
      <c r="I1162" s="81" t="str">
        <f>CONCATENATE(Data!M1162,"-",Data!L1162)</f>
        <v>-</v>
      </c>
      <c r="N1162" s="81">
        <f>IF(Data!P1162,DATEDIF(Data!O1162,Data!P1162,"d"),0)</f>
        <v>0</v>
      </c>
      <c r="O1162" s="81">
        <f>IF(Data!M1162="CD",1,0)</f>
        <v>0</v>
      </c>
      <c r="P1162" s="81">
        <f>IF(Data!M1162="CD",0,1)</f>
        <v>1</v>
      </c>
      <c r="Q1162" s="81">
        <f>IF(Data!Q1162&gt;Data!P1162,DATEDIF(Data!P1162,Data!Q1162,"d"),0)</f>
        <v>0</v>
      </c>
      <c r="R1162" s="81">
        <f>IF(Data!R1162&gt;Data!Q1162,DATEDIF(Data!Q1162,Data!R1162,"d"),0)</f>
        <v>0</v>
      </c>
    </row>
    <row r="1163" spans="3:18" x14ac:dyDescent="0.2">
      <c r="C1163" s="80">
        <f t="shared" ca="1" si="38"/>
        <v>45959</v>
      </c>
      <c r="D1163" s="81">
        <f>IF(Data!I1163&lt;&gt;"",DATEDIF(Data!I1163,C1163,"m"),0)</f>
        <v>0</v>
      </c>
      <c r="E1163" s="82">
        <f t="shared" si="39"/>
        <v>0</v>
      </c>
      <c r="I1163" s="81" t="str">
        <f>CONCATENATE(Data!M1163,"-",Data!L1163)</f>
        <v>-</v>
      </c>
      <c r="N1163" s="81">
        <f>IF(Data!P1163,DATEDIF(Data!O1163,Data!P1163,"d"),0)</f>
        <v>0</v>
      </c>
      <c r="O1163" s="81">
        <f>IF(Data!M1163="CD",1,0)</f>
        <v>0</v>
      </c>
      <c r="P1163" s="81">
        <f>IF(Data!M1163="CD",0,1)</f>
        <v>1</v>
      </c>
      <c r="Q1163" s="81">
        <f>IF(Data!Q1163&gt;Data!P1163,DATEDIF(Data!P1163,Data!Q1163,"d"),0)</f>
        <v>0</v>
      </c>
      <c r="R1163" s="81">
        <f>IF(Data!R1163&gt;Data!Q1163,DATEDIF(Data!Q1163,Data!R1163,"d"),0)</f>
        <v>0</v>
      </c>
    </row>
    <row r="1164" spans="3:18" x14ac:dyDescent="0.2">
      <c r="C1164" s="80">
        <f t="shared" ca="1" si="38"/>
        <v>45959</v>
      </c>
      <c r="D1164" s="81">
        <f>IF(Data!I1164&lt;&gt;"",DATEDIF(Data!I1164,C1164,"m"),0)</f>
        <v>0</v>
      </c>
      <c r="E1164" s="82">
        <f t="shared" si="39"/>
        <v>0</v>
      </c>
      <c r="I1164" s="81" t="str">
        <f>CONCATENATE(Data!M1164,"-",Data!L1164)</f>
        <v>-</v>
      </c>
      <c r="N1164" s="81">
        <f>IF(Data!P1164,DATEDIF(Data!O1164,Data!P1164,"d"),0)</f>
        <v>0</v>
      </c>
      <c r="O1164" s="81">
        <f>IF(Data!M1164="CD",1,0)</f>
        <v>0</v>
      </c>
      <c r="P1164" s="81">
        <f>IF(Data!M1164="CD",0,1)</f>
        <v>1</v>
      </c>
      <c r="Q1164" s="81">
        <f>IF(Data!Q1164&gt;Data!P1164,DATEDIF(Data!P1164,Data!Q1164,"d"),0)</f>
        <v>0</v>
      </c>
      <c r="R1164" s="81">
        <f>IF(Data!R1164&gt;Data!Q1164,DATEDIF(Data!Q1164,Data!R1164,"d"),0)</f>
        <v>0</v>
      </c>
    </row>
    <row r="1165" spans="3:18" x14ac:dyDescent="0.2">
      <c r="C1165" s="80">
        <f t="shared" ca="1" si="38"/>
        <v>45959</v>
      </c>
      <c r="D1165" s="81">
        <f>IF(Data!I1165&lt;&gt;"",DATEDIF(Data!I1165,C1165,"m"),0)</f>
        <v>0</v>
      </c>
      <c r="E1165" s="82">
        <f t="shared" si="39"/>
        <v>0</v>
      </c>
      <c r="I1165" s="81" t="str">
        <f>CONCATENATE(Data!M1165,"-",Data!L1165)</f>
        <v>-</v>
      </c>
      <c r="N1165" s="81">
        <f>IF(Data!P1165,DATEDIF(Data!O1165,Data!P1165,"d"),0)</f>
        <v>0</v>
      </c>
      <c r="O1165" s="81">
        <f>IF(Data!M1165="CD",1,0)</f>
        <v>0</v>
      </c>
      <c r="P1165" s="81">
        <f>IF(Data!M1165="CD",0,1)</f>
        <v>1</v>
      </c>
      <c r="Q1165" s="81">
        <f>IF(Data!Q1165&gt;Data!P1165,DATEDIF(Data!P1165,Data!Q1165,"d"),0)</f>
        <v>0</v>
      </c>
      <c r="R1165" s="81">
        <f>IF(Data!R1165&gt;Data!Q1165,DATEDIF(Data!Q1165,Data!R1165,"d"),0)</f>
        <v>0</v>
      </c>
    </row>
    <row r="1166" spans="3:18" x14ac:dyDescent="0.2">
      <c r="C1166" s="80">
        <f t="shared" ca="1" si="38"/>
        <v>45959</v>
      </c>
      <c r="D1166" s="81">
        <f>IF(Data!I1166&lt;&gt;"",DATEDIF(Data!I1166,C1166,"m"),0)</f>
        <v>0</v>
      </c>
      <c r="E1166" s="82">
        <f t="shared" si="39"/>
        <v>0</v>
      </c>
      <c r="I1166" s="81" t="str">
        <f>CONCATENATE(Data!M1166,"-",Data!L1166)</f>
        <v>-</v>
      </c>
      <c r="N1166" s="81">
        <f>IF(Data!P1166,DATEDIF(Data!O1166,Data!P1166,"d"),0)</f>
        <v>0</v>
      </c>
      <c r="O1166" s="81">
        <f>IF(Data!M1166="CD",1,0)</f>
        <v>0</v>
      </c>
      <c r="P1166" s="81">
        <f>IF(Data!M1166="CD",0,1)</f>
        <v>1</v>
      </c>
      <c r="Q1166" s="81">
        <f>IF(Data!Q1166&gt;Data!P1166,DATEDIF(Data!P1166,Data!Q1166,"d"),0)</f>
        <v>0</v>
      </c>
      <c r="R1166" s="81">
        <f>IF(Data!R1166&gt;Data!Q1166,DATEDIF(Data!Q1166,Data!R1166,"d"),0)</f>
        <v>0</v>
      </c>
    </row>
    <row r="1167" spans="3:18" x14ac:dyDescent="0.2">
      <c r="C1167" s="80">
        <f t="shared" ca="1" si="38"/>
        <v>45959</v>
      </c>
      <c r="D1167" s="81">
        <f>IF(Data!I1167&lt;&gt;"",DATEDIF(Data!I1167,C1167,"m"),0)</f>
        <v>0</v>
      </c>
      <c r="E1167" s="82">
        <f t="shared" si="39"/>
        <v>0</v>
      </c>
      <c r="I1167" s="81" t="str">
        <f>CONCATENATE(Data!M1167,"-",Data!L1167)</f>
        <v>-</v>
      </c>
      <c r="N1167" s="81">
        <f>IF(Data!P1167,DATEDIF(Data!O1167,Data!P1167,"d"),0)</f>
        <v>0</v>
      </c>
      <c r="O1167" s="81">
        <f>IF(Data!M1167="CD",1,0)</f>
        <v>0</v>
      </c>
      <c r="P1167" s="81">
        <f>IF(Data!M1167="CD",0,1)</f>
        <v>1</v>
      </c>
      <c r="Q1167" s="81">
        <f>IF(Data!Q1167&gt;Data!P1167,DATEDIF(Data!P1167,Data!Q1167,"d"),0)</f>
        <v>0</v>
      </c>
      <c r="R1167" s="81">
        <f>IF(Data!R1167&gt;Data!Q1167,DATEDIF(Data!Q1167,Data!R1167,"d"),0)</f>
        <v>0</v>
      </c>
    </row>
    <row r="1168" spans="3:18" x14ac:dyDescent="0.2">
      <c r="C1168" s="80">
        <f t="shared" ca="1" si="38"/>
        <v>45959</v>
      </c>
      <c r="D1168" s="81">
        <f>IF(Data!I1168&lt;&gt;"",DATEDIF(Data!I1168,C1168,"m"),0)</f>
        <v>0</v>
      </c>
      <c r="E1168" s="82">
        <f t="shared" si="39"/>
        <v>0</v>
      </c>
      <c r="I1168" s="81" t="str">
        <f>CONCATENATE(Data!M1168,"-",Data!L1168)</f>
        <v>-</v>
      </c>
      <c r="N1168" s="81">
        <f>IF(Data!P1168,DATEDIF(Data!O1168,Data!P1168,"d"),0)</f>
        <v>0</v>
      </c>
      <c r="O1168" s="81">
        <f>IF(Data!M1168="CD",1,0)</f>
        <v>0</v>
      </c>
      <c r="P1168" s="81">
        <f>IF(Data!M1168="CD",0,1)</f>
        <v>1</v>
      </c>
      <c r="Q1168" s="81">
        <f>IF(Data!Q1168&gt;Data!P1168,DATEDIF(Data!P1168,Data!Q1168,"d"),0)</f>
        <v>0</v>
      </c>
      <c r="R1168" s="81">
        <f>IF(Data!R1168&gt;Data!Q1168,DATEDIF(Data!Q1168,Data!R1168,"d"),0)</f>
        <v>0</v>
      </c>
    </row>
    <row r="1169" spans="3:18" x14ac:dyDescent="0.2">
      <c r="C1169" s="80">
        <f t="shared" ca="1" si="38"/>
        <v>45959</v>
      </c>
      <c r="D1169" s="81">
        <f>IF(Data!I1169&lt;&gt;"",DATEDIF(Data!I1169,C1169,"m"),0)</f>
        <v>0</v>
      </c>
      <c r="E1169" s="82">
        <f t="shared" si="39"/>
        <v>0</v>
      </c>
      <c r="I1169" s="81" t="str">
        <f>CONCATENATE(Data!M1169,"-",Data!L1169)</f>
        <v>-</v>
      </c>
      <c r="N1169" s="81">
        <f>IF(Data!P1169,DATEDIF(Data!O1169,Data!P1169,"d"),0)</f>
        <v>0</v>
      </c>
      <c r="O1169" s="81">
        <f>IF(Data!M1169="CD",1,0)</f>
        <v>0</v>
      </c>
      <c r="P1169" s="81">
        <f>IF(Data!M1169="CD",0,1)</f>
        <v>1</v>
      </c>
      <c r="Q1169" s="81">
        <f>IF(Data!Q1169&gt;Data!P1169,DATEDIF(Data!P1169,Data!Q1169,"d"),0)</f>
        <v>0</v>
      </c>
      <c r="R1169" s="81">
        <f>IF(Data!R1169&gt;Data!Q1169,DATEDIF(Data!Q1169,Data!R1169,"d"),0)</f>
        <v>0</v>
      </c>
    </row>
    <row r="1170" spans="3:18" x14ac:dyDescent="0.2">
      <c r="C1170" s="80">
        <f t="shared" ca="1" si="38"/>
        <v>45959</v>
      </c>
      <c r="D1170" s="81">
        <f>IF(Data!I1170&lt;&gt;"",DATEDIF(Data!I1170,C1170,"m"),0)</f>
        <v>0</v>
      </c>
      <c r="E1170" s="82">
        <f t="shared" si="39"/>
        <v>0</v>
      </c>
      <c r="I1170" s="81" t="str">
        <f>CONCATENATE(Data!M1170,"-",Data!L1170)</f>
        <v>-</v>
      </c>
      <c r="N1170" s="81">
        <f>IF(Data!P1170,DATEDIF(Data!O1170,Data!P1170,"d"),0)</f>
        <v>0</v>
      </c>
      <c r="O1170" s="81">
        <f>IF(Data!M1170="CD",1,0)</f>
        <v>0</v>
      </c>
      <c r="P1170" s="81">
        <f>IF(Data!M1170="CD",0,1)</f>
        <v>1</v>
      </c>
      <c r="Q1170" s="81">
        <f>IF(Data!Q1170&gt;Data!P1170,DATEDIF(Data!P1170,Data!Q1170,"d"),0)</f>
        <v>0</v>
      </c>
      <c r="R1170" s="81">
        <f>IF(Data!R1170&gt;Data!Q1170,DATEDIF(Data!Q1170,Data!R1170,"d"),0)</f>
        <v>0</v>
      </c>
    </row>
    <row r="1171" spans="3:18" x14ac:dyDescent="0.2">
      <c r="C1171" s="80">
        <f t="shared" ca="1" si="38"/>
        <v>45959</v>
      </c>
      <c r="D1171" s="81">
        <f>IF(Data!I1171&lt;&gt;"",DATEDIF(Data!I1171,C1171,"m"),0)</f>
        <v>0</v>
      </c>
      <c r="E1171" s="82">
        <f t="shared" si="39"/>
        <v>0</v>
      </c>
      <c r="I1171" s="81" t="str">
        <f>CONCATENATE(Data!M1171,"-",Data!L1171)</f>
        <v>-</v>
      </c>
      <c r="N1171" s="81">
        <f>IF(Data!P1171,DATEDIF(Data!O1171,Data!P1171,"d"),0)</f>
        <v>0</v>
      </c>
      <c r="O1171" s="81">
        <f>IF(Data!M1171="CD",1,0)</f>
        <v>0</v>
      </c>
      <c r="P1171" s="81">
        <f>IF(Data!M1171="CD",0,1)</f>
        <v>1</v>
      </c>
      <c r="Q1171" s="81">
        <f>IF(Data!Q1171&gt;Data!P1171,DATEDIF(Data!P1171,Data!Q1171,"d"),0)</f>
        <v>0</v>
      </c>
      <c r="R1171" s="81">
        <f>IF(Data!R1171&gt;Data!Q1171,DATEDIF(Data!Q1171,Data!R1171,"d"),0)</f>
        <v>0</v>
      </c>
    </row>
    <row r="1172" spans="3:18" x14ac:dyDescent="0.2">
      <c r="C1172" s="80">
        <f t="shared" ca="1" si="38"/>
        <v>45959</v>
      </c>
      <c r="D1172" s="81">
        <f>IF(Data!I1172&lt;&gt;"",DATEDIF(Data!I1172,C1172,"m"),0)</f>
        <v>0</v>
      </c>
      <c r="E1172" s="82">
        <f t="shared" si="39"/>
        <v>0</v>
      </c>
      <c r="I1172" s="81" t="str">
        <f>CONCATENATE(Data!M1172,"-",Data!L1172)</f>
        <v>-</v>
      </c>
      <c r="N1172" s="81">
        <f>IF(Data!P1172,DATEDIF(Data!O1172,Data!P1172,"d"),0)</f>
        <v>0</v>
      </c>
      <c r="O1172" s="81">
        <f>IF(Data!M1172="CD",1,0)</f>
        <v>0</v>
      </c>
      <c r="P1172" s="81">
        <f>IF(Data!M1172="CD",0,1)</f>
        <v>1</v>
      </c>
      <c r="Q1172" s="81">
        <f>IF(Data!Q1172&gt;Data!P1172,DATEDIF(Data!P1172,Data!Q1172,"d"),0)</f>
        <v>0</v>
      </c>
      <c r="R1172" s="81">
        <f>IF(Data!R1172&gt;Data!Q1172,DATEDIF(Data!Q1172,Data!R1172,"d"),0)</f>
        <v>0</v>
      </c>
    </row>
    <row r="1173" spans="3:18" x14ac:dyDescent="0.2">
      <c r="C1173" s="80">
        <f t="shared" ca="1" si="38"/>
        <v>45959</v>
      </c>
      <c r="D1173" s="81">
        <f>IF(Data!I1173&lt;&gt;"",DATEDIF(Data!I1173,C1173,"m"),0)</f>
        <v>0</v>
      </c>
      <c r="E1173" s="82">
        <f t="shared" si="39"/>
        <v>0</v>
      </c>
      <c r="I1173" s="81" t="str">
        <f>CONCATENATE(Data!M1173,"-",Data!L1173)</f>
        <v>-</v>
      </c>
      <c r="N1173" s="81">
        <f>IF(Data!P1173,DATEDIF(Data!O1173,Data!P1173,"d"),0)</f>
        <v>0</v>
      </c>
      <c r="O1173" s="81">
        <f>IF(Data!M1173="CD",1,0)</f>
        <v>0</v>
      </c>
      <c r="P1173" s="81">
        <f>IF(Data!M1173="CD",0,1)</f>
        <v>1</v>
      </c>
      <c r="Q1173" s="81">
        <f>IF(Data!Q1173&gt;Data!P1173,DATEDIF(Data!P1173,Data!Q1173,"d"),0)</f>
        <v>0</v>
      </c>
      <c r="R1173" s="81">
        <f>IF(Data!R1173&gt;Data!Q1173,DATEDIF(Data!Q1173,Data!R1173,"d"),0)</f>
        <v>0</v>
      </c>
    </row>
    <row r="1174" spans="3:18" x14ac:dyDescent="0.2">
      <c r="C1174" s="80">
        <f t="shared" ca="1" si="38"/>
        <v>45959</v>
      </c>
      <c r="D1174" s="81">
        <f>IF(Data!I1174&lt;&gt;"",DATEDIF(Data!I1174,C1174,"m"),0)</f>
        <v>0</v>
      </c>
      <c r="E1174" s="82">
        <f t="shared" si="39"/>
        <v>0</v>
      </c>
      <c r="I1174" s="81" t="str">
        <f>CONCATENATE(Data!M1174,"-",Data!L1174)</f>
        <v>-</v>
      </c>
      <c r="N1174" s="81">
        <f>IF(Data!P1174,DATEDIF(Data!O1174,Data!P1174,"d"),0)</f>
        <v>0</v>
      </c>
      <c r="O1174" s="81">
        <f>IF(Data!M1174="CD",1,0)</f>
        <v>0</v>
      </c>
      <c r="P1174" s="81">
        <f>IF(Data!M1174="CD",0,1)</f>
        <v>1</v>
      </c>
      <c r="Q1174" s="81">
        <f>IF(Data!Q1174&gt;Data!P1174,DATEDIF(Data!P1174,Data!Q1174,"d"),0)</f>
        <v>0</v>
      </c>
      <c r="R1174" s="81">
        <f>IF(Data!R1174&gt;Data!Q1174,DATEDIF(Data!Q1174,Data!R1174,"d"),0)</f>
        <v>0</v>
      </c>
    </row>
    <row r="1175" spans="3:18" x14ac:dyDescent="0.2">
      <c r="C1175" s="80">
        <f t="shared" ca="1" si="38"/>
        <v>45959</v>
      </c>
      <c r="D1175" s="81">
        <f>IF(Data!I1175&lt;&gt;"",DATEDIF(Data!I1175,C1175,"m"),0)</f>
        <v>0</v>
      </c>
      <c r="E1175" s="82">
        <f t="shared" si="39"/>
        <v>0</v>
      </c>
      <c r="I1175" s="81" t="str">
        <f>CONCATENATE(Data!M1175,"-",Data!L1175)</f>
        <v>-</v>
      </c>
      <c r="N1175" s="81">
        <f>IF(Data!P1175,DATEDIF(Data!O1175,Data!P1175,"d"),0)</f>
        <v>0</v>
      </c>
      <c r="O1175" s="81">
        <f>IF(Data!M1175="CD",1,0)</f>
        <v>0</v>
      </c>
      <c r="P1175" s="81">
        <f>IF(Data!M1175="CD",0,1)</f>
        <v>1</v>
      </c>
      <c r="Q1175" s="81">
        <f>IF(Data!Q1175&gt;Data!P1175,DATEDIF(Data!P1175,Data!Q1175,"d"),0)</f>
        <v>0</v>
      </c>
      <c r="R1175" s="81">
        <f>IF(Data!R1175&gt;Data!Q1175,DATEDIF(Data!Q1175,Data!R1175,"d"),0)</f>
        <v>0</v>
      </c>
    </row>
    <row r="1176" spans="3:18" x14ac:dyDescent="0.2">
      <c r="C1176" s="80">
        <f t="shared" ca="1" si="38"/>
        <v>45959</v>
      </c>
      <c r="D1176" s="81">
        <f>IF(Data!I1176&lt;&gt;"",DATEDIF(Data!I1176,C1176,"m"),0)</f>
        <v>0</v>
      </c>
      <c r="E1176" s="82">
        <f t="shared" si="39"/>
        <v>0</v>
      </c>
      <c r="I1176" s="81" t="str">
        <f>CONCATENATE(Data!M1176,"-",Data!L1176)</f>
        <v>-</v>
      </c>
      <c r="N1176" s="81">
        <f>IF(Data!P1176,DATEDIF(Data!O1176,Data!P1176,"d"),0)</f>
        <v>0</v>
      </c>
      <c r="O1176" s="81">
        <f>IF(Data!M1176="CD",1,0)</f>
        <v>0</v>
      </c>
      <c r="P1176" s="81">
        <f>IF(Data!M1176="CD",0,1)</f>
        <v>1</v>
      </c>
      <c r="Q1176" s="81">
        <f>IF(Data!Q1176&gt;Data!P1176,DATEDIF(Data!P1176,Data!Q1176,"d"),0)</f>
        <v>0</v>
      </c>
      <c r="R1176" s="81">
        <f>IF(Data!R1176&gt;Data!Q1176,DATEDIF(Data!Q1176,Data!R1176,"d"),0)</f>
        <v>0</v>
      </c>
    </row>
    <row r="1177" spans="3:18" x14ac:dyDescent="0.2">
      <c r="C1177" s="80">
        <f t="shared" ca="1" si="38"/>
        <v>45959</v>
      </c>
      <c r="D1177" s="81">
        <f>IF(Data!I1177&lt;&gt;"",DATEDIF(Data!I1177,C1177,"m"),0)</f>
        <v>0</v>
      </c>
      <c r="E1177" s="82">
        <f t="shared" si="39"/>
        <v>0</v>
      </c>
      <c r="I1177" s="81" t="str">
        <f>CONCATENATE(Data!M1177,"-",Data!L1177)</f>
        <v>-</v>
      </c>
      <c r="N1177" s="81">
        <f>IF(Data!P1177,DATEDIF(Data!O1177,Data!P1177,"d"),0)</f>
        <v>0</v>
      </c>
      <c r="O1177" s="81">
        <f>IF(Data!M1177="CD",1,0)</f>
        <v>0</v>
      </c>
      <c r="P1177" s="81">
        <f>IF(Data!M1177="CD",0,1)</f>
        <v>1</v>
      </c>
      <c r="Q1177" s="81">
        <f>IF(Data!Q1177&gt;Data!P1177,DATEDIF(Data!P1177,Data!Q1177,"d"),0)</f>
        <v>0</v>
      </c>
      <c r="R1177" s="81">
        <f>IF(Data!R1177&gt;Data!Q1177,DATEDIF(Data!Q1177,Data!R1177,"d"),0)</f>
        <v>0</v>
      </c>
    </row>
    <row r="1178" spans="3:18" x14ac:dyDescent="0.2">
      <c r="C1178" s="80">
        <f t="shared" ca="1" si="38"/>
        <v>45959</v>
      </c>
      <c r="D1178" s="81">
        <f>IF(Data!I1178&lt;&gt;"",DATEDIF(Data!I1178,C1178,"m"),0)</f>
        <v>0</v>
      </c>
      <c r="E1178" s="82">
        <f t="shared" si="39"/>
        <v>0</v>
      </c>
      <c r="I1178" s="81" t="str">
        <f>CONCATENATE(Data!M1178,"-",Data!L1178)</f>
        <v>-</v>
      </c>
      <c r="N1178" s="81">
        <f>IF(Data!P1178,DATEDIF(Data!O1178,Data!P1178,"d"),0)</f>
        <v>0</v>
      </c>
      <c r="O1178" s="81">
        <f>IF(Data!M1178="CD",1,0)</f>
        <v>0</v>
      </c>
      <c r="P1178" s="81">
        <f>IF(Data!M1178="CD",0,1)</f>
        <v>1</v>
      </c>
      <c r="Q1178" s="81">
        <f>IF(Data!Q1178&gt;Data!P1178,DATEDIF(Data!P1178,Data!Q1178,"d"),0)</f>
        <v>0</v>
      </c>
      <c r="R1178" s="81">
        <f>IF(Data!R1178&gt;Data!Q1178,DATEDIF(Data!Q1178,Data!R1178,"d"),0)</f>
        <v>0</v>
      </c>
    </row>
    <row r="1179" spans="3:18" x14ac:dyDescent="0.2">
      <c r="C1179" s="80">
        <f t="shared" ca="1" si="38"/>
        <v>45959</v>
      </c>
      <c r="D1179" s="81">
        <f>IF(Data!I1179&lt;&gt;"",DATEDIF(Data!I1179,C1179,"m"),0)</f>
        <v>0</v>
      </c>
      <c r="E1179" s="82">
        <f t="shared" si="39"/>
        <v>0</v>
      </c>
      <c r="I1179" s="81" t="str">
        <f>CONCATENATE(Data!M1179,"-",Data!L1179)</f>
        <v>-</v>
      </c>
      <c r="N1179" s="81">
        <f>IF(Data!P1179,DATEDIF(Data!O1179,Data!P1179,"d"),0)</f>
        <v>0</v>
      </c>
      <c r="O1179" s="81">
        <f>IF(Data!M1179="CD",1,0)</f>
        <v>0</v>
      </c>
      <c r="P1179" s="81">
        <f>IF(Data!M1179="CD",0,1)</f>
        <v>1</v>
      </c>
      <c r="Q1179" s="81">
        <f>IF(Data!Q1179&gt;Data!P1179,DATEDIF(Data!P1179,Data!Q1179,"d"),0)</f>
        <v>0</v>
      </c>
      <c r="R1179" s="81">
        <f>IF(Data!R1179&gt;Data!Q1179,DATEDIF(Data!Q1179,Data!R1179,"d"),0)</f>
        <v>0</v>
      </c>
    </row>
    <row r="1180" spans="3:18" x14ac:dyDescent="0.2">
      <c r="C1180" s="80">
        <f t="shared" ca="1" si="38"/>
        <v>45959</v>
      </c>
      <c r="D1180" s="81">
        <f>IF(Data!I1180&lt;&gt;"",DATEDIF(Data!I1180,C1180,"m"),0)</f>
        <v>0</v>
      </c>
      <c r="E1180" s="82">
        <f t="shared" si="39"/>
        <v>0</v>
      </c>
      <c r="I1180" s="81" t="str">
        <f>CONCATENATE(Data!M1180,"-",Data!L1180)</f>
        <v>-</v>
      </c>
      <c r="N1180" s="81">
        <f>IF(Data!P1180,DATEDIF(Data!O1180,Data!P1180,"d"),0)</f>
        <v>0</v>
      </c>
      <c r="O1180" s="81">
        <f>IF(Data!M1180="CD",1,0)</f>
        <v>0</v>
      </c>
      <c r="P1180" s="81">
        <f>IF(Data!M1180="CD",0,1)</f>
        <v>1</v>
      </c>
      <c r="Q1180" s="81">
        <f>IF(Data!Q1180&gt;Data!P1180,DATEDIF(Data!P1180,Data!Q1180,"d"),0)</f>
        <v>0</v>
      </c>
      <c r="R1180" s="81">
        <f>IF(Data!R1180&gt;Data!Q1180,DATEDIF(Data!Q1180,Data!R1180,"d"),0)</f>
        <v>0</v>
      </c>
    </row>
    <row r="1181" spans="3:18" x14ac:dyDescent="0.2">
      <c r="C1181" s="80">
        <f t="shared" ca="1" si="38"/>
        <v>45959</v>
      </c>
      <c r="D1181" s="81">
        <f>IF(Data!I1181&lt;&gt;"",DATEDIF(Data!I1181,C1181,"m"),0)</f>
        <v>0</v>
      </c>
      <c r="E1181" s="82">
        <f t="shared" si="39"/>
        <v>0</v>
      </c>
      <c r="I1181" s="81" t="str">
        <f>CONCATENATE(Data!M1181,"-",Data!L1181)</f>
        <v>-</v>
      </c>
      <c r="N1181" s="81">
        <f>IF(Data!P1181,DATEDIF(Data!O1181,Data!P1181,"d"),0)</f>
        <v>0</v>
      </c>
      <c r="O1181" s="81">
        <f>IF(Data!M1181="CD",1,0)</f>
        <v>0</v>
      </c>
      <c r="P1181" s="81">
        <f>IF(Data!M1181="CD",0,1)</f>
        <v>1</v>
      </c>
      <c r="Q1181" s="81">
        <f>IF(Data!Q1181&gt;Data!P1181,DATEDIF(Data!P1181,Data!Q1181,"d"),0)</f>
        <v>0</v>
      </c>
      <c r="R1181" s="81">
        <f>IF(Data!R1181&gt;Data!Q1181,DATEDIF(Data!Q1181,Data!R1181,"d"),0)</f>
        <v>0</v>
      </c>
    </row>
    <row r="1182" spans="3:18" x14ac:dyDescent="0.2">
      <c r="C1182" s="80">
        <f t="shared" ca="1" si="38"/>
        <v>45959</v>
      </c>
      <c r="D1182" s="81">
        <f>IF(Data!I1182&lt;&gt;"",DATEDIF(Data!I1182,C1182,"m"),0)</f>
        <v>0</v>
      </c>
      <c r="E1182" s="82">
        <f t="shared" si="39"/>
        <v>0</v>
      </c>
      <c r="I1182" s="81" t="str">
        <f>CONCATENATE(Data!M1182,"-",Data!L1182)</f>
        <v>-</v>
      </c>
      <c r="N1182" s="81">
        <f>IF(Data!P1182,DATEDIF(Data!O1182,Data!P1182,"d"),0)</f>
        <v>0</v>
      </c>
      <c r="O1182" s="81">
        <f>IF(Data!M1182="CD",1,0)</f>
        <v>0</v>
      </c>
      <c r="P1182" s="81">
        <f>IF(Data!M1182="CD",0,1)</f>
        <v>1</v>
      </c>
      <c r="Q1182" s="81">
        <f>IF(Data!Q1182&gt;Data!P1182,DATEDIF(Data!P1182,Data!Q1182,"d"),0)</f>
        <v>0</v>
      </c>
      <c r="R1182" s="81">
        <f>IF(Data!R1182&gt;Data!Q1182,DATEDIF(Data!Q1182,Data!R1182,"d"),0)</f>
        <v>0</v>
      </c>
    </row>
    <row r="1183" spans="3:18" x14ac:dyDescent="0.2">
      <c r="C1183" s="80">
        <f t="shared" ca="1" si="38"/>
        <v>45959</v>
      </c>
      <c r="D1183" s="81">
        <f>IF(Data!I1183&lt;&gt;"",DATEDIF(Data!I1183,C1183,"m"),0)</f>
        <v>0</v>
      </c>
      <c r="E1183" s="82">
        <f t="shared" si="39"/>
        <v>0</v>
      </c>
      <c r="I1183" s="81" t="str">
        <f>CONCATENATE(Data!M1183,"-",Data!L1183)</f>
        <v>-</v>
      </c>
      <c r="N1183" s="81">
        <f>IF(Data!P1183,DATEDIF(Data!O1183,Data!P1183,"d"),0)</f>
        <v>0</v>
      </c>
      <c r="O1183" s="81">
        <f>IF(Data!M1183="CD",1,0)</f>
        <v>0</v>
      </c>
      <c r="P1183" s="81">
        <f>IF(Data!M1183="CD",0,1)</f>
        <v>1</v>
      </c>
      <c r="Q1183" s="81">
        <f>IF(Data!Q1183&gt;Data!P1183,DATEDIF(Data!P1183,Data!Q1183,"d"),0)</f>
        <v>0</v>
      </c>
      <c r="R1183" s="81">
        <f>IF(Data!R1183&gt;Data!Q1183,DATEDIF(Data!Q1183,Data!R1183,"d"),0)</f>
        <v>0</v>
      </c>
    </row>
    <row r="1184" spans="3:18" x14ac:dyDescent="0.2">
      <c r="C1184" s="80">
        <f t="shared" ca="1" si="38"/>
        <v>45959</v>
      </c>
      <c r="D1184" s="81">
        <f>IF(Data!I1184&lt;&gt;"",DATEDIF(Data!I1184,C1184,"m"),0)</f>
        <v>0</v>
      </c>
      <c r="E1184" s="82">
        <f t="shared" si="39"/>
        <v>0</v>
      </c>
      <c r="I1184" s="81" t="str">
        <f>CONCATENATE(Data!M1184,"-",Data!L1184)</f>
        <v>-</v>
      </c>
      <c r="N1184" s="81">
        <f>IF(Data!P1184,DATEDIF(Data!O1184,Data!P1184,"d"),0)</f>
        <v>0</v>
      </c>
      <c r="O1184" s="81">
        <f>IF(Data!M1184="CD",1,0)</f>
        <v>0</v>
      </c>
      <c r="P1184" s="81">
        <f>IF(Data!M1184="CD",0,1)</f>
        <v>1</v>
      </c>
      <c r="Q1184" s="81">
        <f>IF(Data!Q1184&gt;Data!P1184,DATEDIF(Data!P1184,Data!Q1184,"d"),0)</f>
        <v>0</v>
      </c>
      <c r="R1184" s="81">
        <f>IF(Data!R1184&gt;Data!Q1184,DATEDIF(Data!Q1184,Data!R1184,"d"),0)</f>
        <v>0</v>
      </c>
    </row>
    <row r="1185" spans="3:18" x14ac:dyDescent="0.2">
      <c r="C1185" s="80">
        <f t="shared" ca="1" si="38"/>
        <v>45959</v>
      </c>
      <c r="D1185" s="81">
        <f>IF(Data!I1185&lt;&gt;"",DATEDIF(Data!I1185,C1185,"m"),0)</f>
        <v>0</v>
      </c>
      <c r="E1185" s="82">
        <f t="shared" si="39"/>
        <v>0</v>
      </c>
      <c r="I1185" s="81" t="str">
        <f>CONCATENATE(Data!M1185,"-",Data!L1185)</f>
        <v>-</v>
      </c>
      <c r="N1185" s="81">
        <f>IF(Data!P1185,DATEDIF(Data!O1185,Data!P1185,"d"),0)</f>
        <v>0</v>
      </c>
      <c r="O1185" s="81">
        <f>IF(Data!M1185="CD",1,0)</f>
        <v>0</v>
      </c>
      <c r="P1185" s="81">
        <f>IF(Data!M1185="CD",0,1)</f>
        <v>1</v>
      </c>
      <c r="Q1185" s="81">
        <f>IF(Data!Q1185&gt;Data!P1185,DATEDIF(Data!P1185,Data!Q1185,"d"),0)</f>
        <v>0</v>
      </c>
      <c r="R1185" s="81">
        <f>IF(Data!R1185&gt;Data!Q1185,DATEDIF(Data!Q1185,Data!R1185,"d"),0)</f>
        <v>0</v>
      </c>
    </row>
    <row r="1186" spans="3:18" x14ac:dyDescent="0.2">
      <c r="C1186" s="80">
        <f t="shared" ca="1" si="38"/>
        <v>45959</v>
      </c>
      <c r="D1186" s="81">
        <f>IF(Data!I1186&lt;&gt;"",DATEDIF(Data!I1186,C1186,"m"),0)</f>
        <v>0</v>
      </c>
      <c r="E1186" s="82">
        <f t="shared" si="39"/>
        <v>0</v>
      </c>
      <c r="I1186" s="81" t="str">
        <f>CONCATENATE(Data!M1186,"-",Data!L1186)</f>
        <v>-</v>
      </c>
      <c r="N1186" s="81">
        <f>IF(Data!P1186,DATEDIF(Data!O1186,Data!P1186,"d"),0)</f>
        <v>0</v>
      </c>
      <c r="O1186" s="81">
        <f>IF(Data!M1186="CD",1,0)</f>
        <v>0</v>
      </c>
      <c r="P1186" s="81">
        <f>IF(Data!M1186="CD",0,1)</f>
        <v>1</v>
      </c>
      <c r="Q1186" s="81">
        <f>IF(Data!Q1186&gt;Data!P1186,DATEDIF(Data!P1186,Data!Q1186,"d"),0)</f>
        <v>0</v>
      </c>
      <c r="R1186" s="81">
        <f>IF(Data!R1186&gt;Data!Q1186,DATEDIF(Data!Q1186,Data!R1186,"d"),0)</f>
        <v>0</v>
      </c>
    </row>
    <row r="1187" spans="3:18" x14ac:dyDescent="0.2">
      <c r="C1187" s="80">
        <f t="shared" ca="1" si="38"/>
        <v>45959</v>
      </c>
      <c r="D1187" s="81">
        <f>IF(Data!I1187&lt;&gt;"",DATEDIF(Data!I1187,C1187,"m"),0)</f>
        <v>0</v>
      </c>
      <c r="E1187" s="82">
        <f t="shared" si="39"/>
        <v>0</v>
      </c>
      <c r="I1187" s="81" t="str">
        <f>CONCATENATE(Data!M1187,"-",Data!L1187)</f>
        <v>-</v>
      </c>
      <c r="N1187" s="81">
        <f>IF(Data!P1187,DATEDIF(Data!O1187,Data!P1187,"d"),0)</f>
        <v>0</v>
      </c>
      <c r="O1187" s="81">
        <f>IF(Data!M1187="CD",1,0)</f>
        <v>0</v>
      </c>
      <c r="P1187" s="81">
        <f>IF(Data!M1187="CD",0,1)</f>
        <v>1</v>
      </c>
      <c r="Q1187" s="81">
        <f>IF(Data!Q1187&gt;Data!P1187,DATEDIF(Data!P1187,Data!Q1187,"d"),0)</f>
        <v>0</v>
      </c>
      <c r="R1187" s="81">
        <f>IF(Data!R1187&gt;Data!Q1187,DATEDIF(Data!Q1187,Data!R1187,"d"),0)</f>
        <v>0</v>
      </c>
    </row>
    <row r="1188" spans="3:18" x14ac:dyDescent="0.2">
      <c r="C1188" s="80">
        <f t="shared" ca="1" si="38"/>
        <v>45959</v>
      </c>
      <c r="D1188" s="81">
        <f>IF(Data!I1188&lt;&gt;"",DATEDIF(Data!I1188,C1188,"m"),0)</f>
        <v>0</v>
      </c>
      <c r="E1188" s="82">
        <f t="shared" si="39"/>
        <v>0</v>
      </c>
      <c r="I1188" s="81" t="str">
        <f>CONCATENATE(Data!M1188,"-",Data!L1188)</f>
        <v>-</v>
      </c>
      <c r="N1188" s="81">
        <f>IF(Data!P1188,DATEDIF(Data!O1188,Data!P1188,"d"),0)</f>
        <v>0</v>
      </c>
      <c r="O1188" s="81">
        <f>IF(Data!M1188="CD",1,0)</f>
        <v>0</v>
      </c>
      <c r="P1188" s="81">
        <f>IF(Data!M1188="CD",0,1)</f>
        <v>1</v>
      </c>
      <c r="Q1188" s="81">
        <f>IF(Data!Q1188&gt;Data!P1188,DATEDIF(Data!P1188,Data!Q1188,"d"),0)</f>
        <v>0</v>
      </c>
      <c r="R1188" s="81">
        <f>IF(Data!R1188&gt;Data!Q1188,DATEDIF(Data!Q1188,Data!R1188,"d"),0)</f>
        <v>0</v>
      </c>
    </row>
    <row r="1189" spans="3:18" x14ac:dyDescent="0.2">
      <c r="C1189" s="80">
        <f t="shared" ca="1" si="38"/>
        <v>45959</v>
      </c>
      <c r="D1189" s="81">
        <f>IF(Data!I1189&lt;&gt;"",DATEDIF(Data!I1189,C1189,"m"),0)</f>
        <v>0</v>
      </c>
      <c r="E1189" s="82">
        <f t="shared" si="39"/>
        <v>0</v>
      </c>
      <c r="I1189" s="81" t="str">
        <f>CONCATENATE(Data!M1189,"-",Data!L1189)</f>
        <v>-</v>
      </c>
      <c r="N1189" s="81">
        <f>IF(Data!P1189,DATEDIF(Data!O1189,Data!P1189,"d"),0)</f>
        <v>0</v>
      </c>
      <c r="O1189" s="81">
        <f>IF(Data!M1189="CD",1,0)</f>
        <v>0</v>
      </c>
      <c r="P1189" s="81">
        <f>IF(Data!M1189="CD",0,1)</f>
        <v>1</v>
      </c>
      <c r="Q1189" s="81">
        <f>IF(Data!Q1189&gt;Data!P1189,DATEDIF(Data!P1189,Data!Q1189,"d"),0)</f>
        <v>0</v>
      </c>
      <c r="R1189" s="81">
        <f>IF(Data!R1189&gt;Data!Q1189,DATEDIF(Data!Q1189,Data!R1189,"d"),0)</f>
        <v>0</v>
      </c>
    </row>
    <row r="1190" spans="3:18" x14ac:dyDescent="0.2">
      <c r="C1190" s="80">
        <f t="shared" ca="1" si="38"/>
        <v>45959</v>
      </c>
      <c r="D1190" s="81">
        <f>IF(Data!I1190&lt;&gt;"",DATEDIF(Data!I1190,C1190,"m"),0)</f>
        <v>0</v>
      </c>
      <c r="E1190" s="82">
        <f t="shared" si="39"/>
        <v>0</v>
      </c>
      <c r="I1190" s="81" t="str">
        <f>CONCATENATE(Data!M1190,"-",Data!L1190)</f>
        <v>-</v>
      </c>
      <c r="N1190" s="81">
        <f>IF(Data!P1190,DATEDIF(Data!O1190,Data!P1190,"d"),0)</f>
        <v>0</v>
      </c>
      <c r="O1190" s="81">
        <f>IF(Data!M1190="CD",1,0)</f>
        <v>0</v>
      </c>
      <c r="P1190" s="81">
        <f>IF(Data!M1190="CD",0,1)</f>
        <v>1</v>
      </c>
      <c r="Q1190" s="81">
        <f>IF(Data!Q1190&gt;Data!P1190,DATEDIF(Data!P1190,Data!Q1190,"d"),0)</f>
        <v>0</v>
      </c>
      <c r="R1190" s="81">
        <f>IF(Data!R1190&gt;Data!Q1190,DATEDIF(Data!Q1190,Data!R1190,"d"),0)</f>
        <v>0</v>
      </c>
    </row>
    <row r="1191" spans="3:18" x14ac:dyDescent="0.2">
      <c r="C1191" s="80">
        <f t="shared" ca="1" si="38"/>
        <v>45959</v>
      </c>
      <c r="D1191" s="81">
        <f>IF(Data!I1191&lt;&gt;"",DATEDIF(Data!I1191,C1191,"m"),0)</f>
        <v>0</v>
      </c>
      <c r="E1191" s="82">
        <f t="shared" si="39"/>
        <v>0</v>
      </c>
      <c r="I1191" s="81" t="str">
        <f>CONCATENATE(Data!M1191,"-",Data!L1191)</f>
        <v>-</v>
      </c>
      <c r="N1191" s="81">
        <f>IF(Data!P1191,DATEDIF(Data!O1191,Data!P1191,"d"),0)</f>
        <v>0</v>
      </c>
      <c r="O1191" s="81">
        <f>IF(Data!M1191="CD",1,0)</f>
        <v>0</v>
      </c>
      <c r="P1191" s="81">
        <f>IF(Data!M1191="CD",0,1)</f>
        <v>1</v>
      </c>
      <c r="Q1191" s="81">
        <f>IF(Data!Q1191&gt;Data!P1191,DATEDIF(Data!P1191,Data!Q1191,"d"),0)</f>
        <v>0</v>
      </c>
      <c r="R1191" s="81">
        <f>IF(Data!R1191&gt;Data!Q1191,DATEDIF(Data!Q1191,Data!R1191,"d"),0)</f>
        <v>0</v>
      </c>
    </row>
    <row r="1192" spans="3:18" x14ac:dyDescent="0.2">
      <c r="C1192" s="80">
        <f t="shared" ca="1" si="38"/>
        <v>45959</v>
      </c>
      <c r="D1192" s="81">
        <f>IF(Data!I1192&lt;&gt;"",DATEDIF(Data!I1192,C1192,"m"),0)</f>
        <v>0</v>
      </c>
      <c r="E1192" s="82">
        <f t="shared" si="39"/>
        <v>0</v>
      </c>
      <c r="I1192" s="81" t="str">
        <f>CONCATENATE(Data!M1192,"-",Data!L1192)</f>
        <v>-</v>
      </c>
      <c r="N1192" s="81">
        <f>IF(Data!P1192,DATEDIF(Data!O1192,Data!P1192,"d"),0)</f>
        <v>0</v>
      </c>
      <c r="O1192" s="81">
        <f>IF(Data!M1192="CD",1,0)</f>
        <v>0</v>
      </c>
      <c r="P1192" s="81">
        <f>IF(Data!M1192="CD",0,1)</f>
        <v>1</v>
      </c>
      <c r="Q1192" s="81">
        <f>IF(Data!Q1192&gt;Data!P1192,DATEDIF(Data!P1192,Data!Q1192,"d"),0)</f>
        <v>0</v>
      </c>
      <c r="R1192" s="81">
        <f>IF(Data!R1192&gt;Data!Q1192,DATEDIF(Data!Q1192,Data!R1192,"d"),0)</f>
        <v>0</v>
      </c>
    </row>
    <row r="1193" spans="3:18" x14ac:dyDescent="0.2">
      <c r="C1193" s="80">
        <f t="shared" ca="1" si="38"/>
        <v>45959</v>
      </c>
      <c r="D1193" s="81">
        <f>IF(Data!I1193&lt;&gt;"",DATEDIF(Data!I1193,C1193,"m"),0)</f>
        <v>0</v>
      </c>
      <c r="E1193" s="82">
        <f t="shared" si="39"/>
        <v>0</v>
      </c>
      <c r="I1193" s="81" t="str">
        <f>CONCATENATE(Data!M1193,"-",Data!L1193)</f>
        <v>-</v>
      </c>
      <c r="N1193" s="81">
        <f>IF(Data!P1193,DATEDIF(Data!O1193,Data!P1193,"d"),0)</f>
        <v>0</v>
      </c>
      <c r="O1193" s="81">
        <f>IF(Data!M1193="CD",1,0)</f>
        <v>0</v>
      </c>
      <c r="P1193" s="81">
        <f>IF(Data!M1193="CD",0,1)</f>
        <v>1</v>
      </c>
      <c r="Q1193" s="81">
        <f>IF(Data!Q1193&gt;Data!P1193,DATEDIF(Data!P1193,Data!Q1193,"d"),0)</f>
        <v>0</v>
      </c>
      <c r="R1193" s="81">
        <f>IF(Data!R1193&gt;Data!Q1193,DATEDIF(Data!Q1193,Data!R1193,"d"),0)</f>
        <v>0</v>
      </c>
    </row>
    <row r="1194" spans="3:18" x14ac:dyDescent="0.2">
      <c r="C1194" s="80">
        <f t="shared" ca="1" si="38"/>
        <v>45959</v>
      </c>
      <c r="D1194" s="81">
        <f>IF(Data!I1194&lt;&gt;"",DATEDIF(Data!I1194,C1194,"m"),0)</f>
        <v>0</v>
      </c>
      <c r="E1194" s="82">
        <f t="shared" si="39"/>
        <v>0</v>
      </c>
      <c r="I1194" s="81" t="str">
        <f>CONCATENATE(Data!M1194,"-",Data!L1194)</f>
        <v>-</v>
      </c>
      <c r="N1194" s="81">
        <f>IF(Data!P1194,DATEDIF(Data!O1194,Data!P1194,"d"),0)</f>
        <v>0</v>
      </c>
      <c r="O1194" s="81">
        <f>IF(Data!M1194="CD",1,0)</f>
        <v>0</v>
      </c>
      <c r="P1194" s="81">
        <f>IF(Data!M1194="CD",0,1)</f>
        <v>1</v>
      </c>
      <c r="Q1194" s="81">
        <f>IF(Data!Q1194&gt;Data!P1194,DATEDIF(Data!P1194,Data!Q1194,"d"),0)</f>
        <v>0</v>
      </c>
      <c r="R1194" s="81">
        <f>IF(Data!R1194&gt;Data!Q1194,DATEDIF(Data!Q1194,Data!R1194,"d"),0)</f>
        <v>0</v>
      </c>
    </row>
    <row r="1195" spans="3:18" x14ac:dyDescent="0.2">
      <c r="C1195" s="80">
        <f t="shared" ca="1" si="38"/>
        <v>45959</v>
      </c>
      <c r="D1195" s="81">
        <f>IF(Data!I1195&lt;&gt;"",DATEDIF(Data!I1195,C1195,"m"),0)</f>
        <v>0</v>
      </c>
      <c r="E1195" s="82">
        <f t="shared" si="39"/>
        <v>0</v>
      </c>
      <c r="I1195" s="81" t="str">
        <f>CONCATENATE(Data!M1195,"-",Data!L1195)</f>
        <v>-</v>
      </c>
      <c r="N1195" s="81">
        <f>IF(Data!P1195,DATEDIF(Data!O1195,Data!P1195,"d"),0)</f>
        <v>0</v>
      </c>
      <c r="O1195" s="81">
        <f>IF(Data!M1195="CD",1,0)</f>
        <v>0</v>
      </c>
      <c r="P1195" s="81">
        <f>IF(Data!M1195="CD",0,1)</f>
        <v>1</v>
      </c>
      <c r="Q1195" s="81">
        <f>IF(Data!Q1195&gt;Data!P1195,DATEDIF(Data!P1195,Data!Q1195,"d"),0)</f>
        <v>0</v>
      </c>
      <c r="R1195" s="81">
        <f>IF(Data!R1195&gt;Data!Q1195,DATEDIF(Data!Q1195,Data!R1195,"d"),0)</f>
        <v>0</v>
      </c>
    </row>
    <row r="1196" spans="3:18" x14ac:dyDescent="0.2">
      <c r="C1196" s="80">
        <f t="shared" ca="1" si="38"/>
        <v>45959</v>
      </c>
      <c r="D1196" s="81">
        <f>IF(Data!I1196&lt;&gt;"",DATEDIF(Data!I1196,C1196,"m"),0)</f>
        <v>0</v>
      </c>
      <c r="E1196" s="82">
        <f t="shared" si="39"/>
        <v>0</v>
      </c>
      <c r="I1196" s="81" t="str">
        <f>CONCATENATE(Data!M1196,"-",Data!L1196)</f>
        <v>-</v>
      </c>
      <c r="N1196" s="81">
        <f>IF(Data!P1196,DATEDIF(Data!O1196,Data!P1196,"d"),0)</f>
        <v>0</v>
      </c>
      <c r="O1196" s="81">
        <f>IF(Data!M1196="CD",1,0)</f>
        <v>0</v>
      </c>
      <c r="P1196" s="81">
        <f>IF(Data!M1196="CD",0,1)</f>
        <v>1</v>
      </c>
      <c r="Q1196" s="81">
        <f>IF(Data!Q1196&gt;Data!P1196,DATEDIF(Data!P1196,Data!Q1196,"d"),0)</f>
        <v>0</v>
      </c>
      <c r="R1196" s="81">
        <f>IF(Data!R1196&gt;Data!Q1196,DATEDIF(Data!Q1196,Data!R1196,"d"),0)</f>
        <v>0</v>
      </c>
    </row>
    <row r="1197" spans="3:18" x14ac:dyDescent="0.2">
      <c r="C1197" s="80">
        <f t="shared" ca="1" si="38"/>
        <v>45959</v>
      </c>
      <c r="D1197" s="81">
        <f>IF(Data!I1197&lt;&gt;"",DATEDIF(Data!I1197,C1197,"m"),0)</f>
        <v>0</v>
      </c>
      <c r="E1197" s="82">
        <f t="shared" si="39"/>
        <v>0</v>
      </c>
      <c r="I1197" s="81" t="str">
        <f>CONCATENATE(Data!M1197,"-",Data!L1197)</f>
        <v>-</v>
      </c>
      <c r="N1197" s="81">
        <f>IF(Data!P1197,DATEDIF(Data!O1197,Data!P1197,"d"),0)</f>
        <v>0</v>
      </c>
      <c r="O1197" s="81">
        <f>IF(Data!M1197="CD",1,0)</f>
        <v>0</v>
      </c>
      <c r="P1197" s="81">
        <f>IF(Data!M1197="CD",0,1)</f>
        <v>1</v>
      </c>
      <c r="Q1197" s="81">
        <f>IF(Data!Q1197&gt;Data!P1197,DATEDIF(Data!P1197,Data!Q1197,"d"),0)</f>
        <v>0</v>
      </c>
      <c r="R1197" s="81">
        <f>IF(Data!R1197&gt;Data!Q1197,DATEDIF(Data!Q1197,Data!R1197,"d"),0)</f>
        <v>0</v>
      </c>
    </row>
    <row r="1198" spans="3:18" x14ac:dyDescent="0.2">
      <c r="C1198" s="80">
        <f t="shared" ca="1" si="38"/>
        <v>45959</v>
      </c>
      <c r="D1198" s="81">
        <f>IF(Data!I1198&lt;&gt;"",DATEDIF(Data!I1198,C1198,"m"),0)</f>
        <v>0</v>
      </c>
      <c r="E1198" s="82">
        <f t="shared" si="39"/>
        <v>0</v>
      </c>
      <c r="I1198" s="81" t="str">
        <f>CONCATENATE(Data!M1198,"-",Data!L1198)</f>
        <v>-</v>
      </c>
      <c r="N1198" s="81">
        <f>IF(Data!P1198,DATEDIF(Data!O1198,Data!P1198,"d"),0)</f>
        <v>0</v>
      </c>
      <c r="O1198" s="81">
        <f>IF(Data!M1198="CD",1,0)</f>
        <v>0</v>
      </c>
      <c r="P1198" s="81">
        <f>IF(Data!M1198="CD",0,1)</f>
        <v>1</v>
      </c>
      <c r="Q1198" s="81">
        <f>IF(Data!Q1198&gt;Data!P1198,DATEDIF(Data!P1198,Data!Q1198,"d"),0)</f>
        <v>0</v>
      </c>
      <c r="R1198" s="81">
        <f>IF(Data!R1198&gt;Data!Q1198,DATEDIF(Data!Q1198,Data!R1198,"d"),0)</f>
        <v>0</v>
      </c>
    </row>
    <row r="1199" spans="3:18" x14ac:dyDescent="0.2">
      <c r="C1199" s="80">
        <f t="shared" ca="1" si="38"/>
        <v>45959</v>
      </c>
      <c r="D1199" s="81">
        <f>IF(Data!I1199&lt;&gt;"",DATEDIF(Data!I1199,C1199,"m"),0)</f>
        <v>0</v>
      </c>
      <c r="E1199" s="82">
        <f t="shared" si="39"/>
        <v>0</v>
      </c>
      <c r="I1199" s="81" t="str">
        <f>CONCATENATE(Data!M1199,"-",Data!L1199)</f>
        <v>-</v>
      </c>
      <c r="N1199" s="81">
        <f>IF(Data!P1199,DATEDIF(Data!O1199,Data!P1199,"d"),0)</f>
        <v>0</v>
      </c>
      <c r="O1199" s="81">
        <f>IF(Data!M1199="CD",1,0)</f>
        <v>0</v>
      </c>
      <c r="P1199" s="81">
        <f>IF(Data!M1199="CD",0,1)</f>
        <v>1</v>
      </c>
      <c r="Q1199" s="81">
        <f>IF(Data!Q1199&gt;Data!P1199,DATEDIF(Data!P1199,Data!Q1199,"d"),0)</f>
        <v>0</v>
      </c>
      <c r="R1199" s="81">
        <f>IF(Data!R1199&gt;Data!Q1199,DATEDIF(Data!Q1199,Data!R1199,"d"),0)</f>
        <v>0</v>
      </c>
    </row>
    <row r="1200" spans="3:18" x14ac:dyDescent="0.2">
      <c r="C1200" s="80">
        <f t="shared" ca="1" si="38"/>
        <v>45959</v>
      </c>
      <c r="D1200" s="81">
        <f>IF(Data!I1200&lt;&gt;"",DATEDIF(Data!I1200,C1200,"m"),0)</f>
        <v>0</v>
      </c>
      <c r="E1200" s="82">
        <f t="shared" si="39"/>
        <v>0</v>
      </c>
      <c r="I1200" s="81" t="str">
        <f>CONCATENATE(Data!M1200,"-",Data!L1200)</f>
        <v>-</v>
      </c>
      <c r="N1200" s="81">
        <f>IF(Data!P1200,DATEDIF(Data!O1200,Data!P1200,"d"),0)</f>
        <v>0</v>
      </c>
      <c r="O1200" s="81">
        <f>IF(Data!M1200="CD",1,0)</f>
        <v>0</v>
      </c>
      <c r="P1200" s="81">
        <f>IF(Data!M1200="CD",0,1)</f>
        <v>1</v>
      </c>
      <c r="Q1200" s="81">
        <f>IF(Data!Q1200&gt;Data!P1200,DATEDIF(Data!P1200,Data!Q1200,"d"),0)</f>
        <v>0</v>
      </c>
      <c r="R1200" s="81">
        <f>IF(Data!R1200&gt;Data!Q1200,DATEDIF(Data!Q1200,Data!R1200,"d"),0)</f>
        <v>0</v>
      </c>
    </row>
    <row r="1201" spans="3:18" x14ac:dyDescent="0.2">
      <c r="C1201" s="80">
        <f t="shared" ca="1" si="38"/>
        <v>45959</v>
      </c>
      <c r="D1201" s="81">
        <f>IF(Data!I1201&lt;&gt;"",DATEDIF(Data!I1201,C1201,"m"),0)</f>
        <v>0</v>
      </c>
      <c r="E1201" s="82">
        <f t="shared" si="39"/>
        <v>0</v>
      </c>
      <c r="I1201" s="81" t="str">
        <f>CONCATENATE(Data!M1201,"-",Data!L1201)</f>
        <v>-</v>
      </c>
      <c r="N1201" s="81">
        <f>IF(Data!P1201,DATEDIF(Data!O1201,Data!P1201,"d"),0)</f>
        <v>0</v>
      </c>
      <c r="O1201" s="81">
        <f>IF(Data!M1201="CD",1,0)</f>
        <v>0</v>
      </c>
      <c r="P1201" s="81">
        <f>IF(Data!M1201="CD",0,1)</f>
        <v>1</v>
      </c>
      <c r="Q1201" s="81">
        <f>IF(Data!Q1201&gt;Data!P1201,DATEDIF(Data!P1201,Data!Q1201,"d"),0)</f>
        <v>0</v>
      </c>
      <c r="R1201" s="81">
        <f>IF(Data!R1201&gt;Data!Q1201,DATEDIF(Data!Q1201,Data!R1201,"d"),0)</f>
        <v>0</v>
      </c>
    </row>
    <row r="1202" spans="3:18" x14ac:dyDescent="0.2">
      <c r="C1202" s="80">
        <f t="shared" ca="1" si="38"/>
        <v>45959</v>
      </c>
      <c r="D1202" s="81">
        <f>IF(Data!I1202&lt;&gt;"",DATEDIF(Data!I1202,C1202,"m"),0)</f>
        <v>0</v>
      </c>
      <c r="E1202" s="82">
        <f t="shared" si="39"/>
        <v>0</v>
      </c>
      <c r="I1202" s="81" t="str">
        <f>CONCATENATE(Data!M1202,"-",Data!L1202)</f>
        <v>-</v>
      </c>
      <c r="N1202" s="81">
        <f>IF(Data!P1202,DATEDIF(Data!O1202,Data!P1202,"d"),0)</f>
        <v>0</v>
      </c>
      <c r="O1202" s="81">
        <f>IF(Data!M1202="CD",1,0)</f>
        <v>0</v>
      </c>
      <c r="P1202" s="81">
        <f>IF(Data!M1202="CD",0,1)</f>
        <v>1</v>
      </c>
      <c r="Q1202" s="81">
        <f>IF(Data!Q1202&gt;Data!P1202,DATEDIF(Data!P1202,Data!Q1202,"d"),0)</f>
        <v>0</v>
      </c>
      <c r="R1202" s="81">
        <f>IF(Data!R1202&gt;Data!Q1202,DATEDIF(Data!Q1202,Data!R1202,"d"),0)</f>
        <v>0</v>
      </c>
    </row>
    <row r="1203" spans="3:18" x14ac:dyDescent="0.2">
      <c r="C1203" s="80">
        <f t="shared" ca="1" si="38"/>
        <v>45959</v>
      </c>
      <c r="D1203" s="81">
        <f>IF(Data!I1203&lt;&gt;"",DATEDIF(Data!I1203,C1203,"m"),0)</f>
        <v>0</v>
      </c>
      <c r="E1203" s="82">
        <f t="shared" si="39"/>
        <v>0</v>
      </c>
      <c r="I1203" s="81" t="str">
        <f>CONCATENATE(Data!M1203,"-",Data!L1203)</f>
        <v>-</v>
      </c>
      <c r="N1203" s="81">
        <f>IF(Data!P1203,DATEDIF(Data!O1203,Data!P1203,"d"),0)</f>
        <v>0</v>
      </c>
      <c r="O1203" s="81">
        <f>IF(Data!M1203="CD",1,0)</f>
        <v>0</v>
      </c>
      <c r="P1203" s="81">
        <f>IF(Data!M1203="CD",0,1)</f>
        <v>1</v>
      </c>
      <c r="Q1203" s="81">
        <f>IF(Data!Q1203&gt;Data!P1203,DATEDIF(Data!P1203,Data!Q1203,"d"),0)</f>
        <v>0</v>
      </c>
      <c r="R1203" s="81">
        <f>IF(Data!R1203&gt;Data!Q1203,DATEDIF(Data!Q1203,Data!R1203,"d"),0)</f>
        <v>0</v>
      </c>
    </row>
    <row r="1204" spans="3:18" x14ac:dyDescent="0.2">
      <c r="C1204" s="80">
        <f t="shared" ca="1" si="38"/>
        <v>45959</v>
      </c>
      <c r="D1204" s="81">
        <f>IF(Data!I1204&lt;&gt;"",DATEDIF(Data!I1204,C1204,"m"),0)</f>
        <v>0</v>
      </c>
      <c r="E1204" s="82">
        <f t="shared" si="39"/>
        <v>0</v>
      </c>
      <c r="I1204" s="81" t="str">
        <f>CONCATENATE(Data!M1204,"-",Data!L1204)</f>
        <v>-</v>
      </c>
      <c r="N1204" s="81">
        <f>IF(Data!P1204,DATEDIF(Data!O1204,Data!P1204,"d"),0)</f>
        <v>0</v>
      </c>
      <c r="O1204" s="81">
        <f>IF(Data!M1204="CD",1,0)</f>
        <v>0</v>
      </c>
      <c r="P1204" s="81">
        <f>IF(Data!M1204="CD",0,1)</f>
        <v>1</v>
      </c>
      <c r="Q1204" s="81">
        <f>IF(Data!Q1204&gt;Data!P1204,DATEDIF(Data!P1204,Data!Q1204,"d"),0)</f>
        <v>0</v>
      </c>
      <c r="R1204" s="81">
        <f>IF(Data!R1204&gt;Data!Q1204,DATEDIF(Data!Q1204,Data!R1204,"d"),0)</f>
        <v>0</v>
      </c>
    </row>
    <row r="1205" spans="3:18" x14ac:dyDescent="0.2">
      <c r="C1205" s="80">
        <f t="shared" ca="1" si="38"/>
        <v>45959</v>
      </c>
      <c r="D1205" s="81">
        <f>IF(Data!I1205&lt;&gt;"",DATEDIF(Data!I1205,C1205,"m"),0)</f>
        <v>0</v>
      </c>
      <c r="E1205" s="82">
        <f t="shared" si="39"/>
        <v>0</v>
      </c>
      <c r="I1205" s="81" t="str">
        <f>CONCATENATE(Data!M1205,"-",Data!L1205)</f>
        <v>-</v>
      </c>
      <c r="N1205" s="81">
        <f>IF(Data!P1205,DATEDIF(Data!O1205,Data!P1205,"d"),0)</f>
        <v>0</v>
      </c>
      <c r="O1205" s="81">
        <f>IF(Data!M1205="CD",1,0)</f>
        <v>0</v>
      </c>
      <c r="P1205" s="81">
        <f>IF(Data!M1205="CD",0,1)</f>
        <v>1</v>
      </c>
      <c r="Q1205" s="81">
        <f>IF(Data!Q1205&gt;Data!P1205,DATEDIF(Data!P1205,Data!Q1205,"d"),0)</f>
        <v>0</v>
      </c>
      <c r="R1205" s="81">
        <f>IF(Data!R1205&gt;Data!Q1205,DATEDIF(Data!Q1205,Data!R1205,"d"),0)</f>
        <v>0</v>
      </c>
    </row>
    <row r="1206" spans="3:18" x14ac:dyDescent="0.2">
      <c r="C1206" s="80">
        <f t="shared" ca="1" si="38"/>
        <v>45959</v>
      </c>
      <c r="D1206" s="81">
        <f>IF(Data!I1206&lt;&gt;"",DATEDIF(Data!I1206,C1206,"m"),0)</f>
        <v>0</v>
      </c>
      <c r="E1206" s="82">
        <f t="shared" si="39"/>
        <v>0</v>
      </c>
      <c r="I1206" s="81" t="str">
        <f>CONCATENATE(Data!M1206,"-",Data!L1206)</f>
        <v>-</v>
      </c>
      <c r="N1206" s="81">
        <f>IF(Data!P1206,DATEDIF(Data!O1206,Data!P1206,"d"),0)</f>
        <v>0</v>
      </c>
      <c r="O1206" s="81">
        <f>IF(Data!M1206="CD",1,0)</f>
        <v>0</v>
      </c>
      <c r="P1206" s="81">
        <f>IF(Data!M1206="CD",0,1)</f>
        <v>1</v>
      </c>
      <c r="Q1206" s="81">
        <f>IF(Data!Q1206&gt;Data!P1206,DATEDIF(Data!P1206,Data!Q1206,"d"),0)</f>
        <v>0</v>
      </c>
      <c r="R1206" s="81">
        <f>IF(Data!R1206&gt;Data!Q1206,DATEDIF(Data!Q1206,Data!R1206,"d"),0)</f>
        <v>0</v>
      </c>
    </row>
    <row r="1207" spans="3:18" x14ac:dyDescent="0.2">
      <c r="C1207" s="80">
        <f t="shared" ca="1" si="38"/>
        <v>45959</v>
      </c>
      <c r="D1207" s="81">
        <f>IF(Data!I1207&lt;&gt;"",DATEDIF(Data!I1207,C1207,"m"),0)</f>
        <v>0</v>
      </c>
      <c r="E1207" s="82">
        <f t="shared" si="39"/>
        <v>0</v>
      </c>
      <c r="I1207" s="81" t="str">
        <f>CONCATENATE(Data!M1207,"-",Data!L1207)</f>
        <v>-</v>
      </c>
      <c r="N1207" s="81">
        <f>IF(Data!P1207,DATEDIF(Data!O1207,Data!P1207,"d"),0)</f>
        <v>0</v>
      </c>
      <c r="O1207" s="81">
        <f>IF(Data!M1207="CD",1,0)</f>
        <v>0</v>
      </c>
      <c r="P1207" s="81">
        <f>IF(Data!M1207="CD",0,1)</f>
        <v>1</v>
      </c>
      <c r="Q1207" s="81">
        <f>IF(Data!Q1207&gt;Data!P1207,DATEDIF(Data!P1207,Data!Q1207,"d"),0)</f>
        <v>0</v>
      </c>
      <c r="R1207" s="81">
        <f>IF(Data!R1207&gt;Data!Q1207,DATEDIF(Data!Q1207,Data!R1207,"d"),0)</f>
        <v>0</v>
      </c>
    </row>
    <row r="1208" spans="3:18" x14ac:dyDescent="0.2">
      <c r="C1208" s="80">
        <f t="shared" ca="1" si="38"/>
        <v>45959</v>
      </c>
      <c r="D1208" s="81">
        <f>IF(Data!I1208&lt;&gt;"",DATEDIF(Data!I1208,C1208,"m"),0)</f>
        <v>0</v>
      </c>
      <c r="E1208" s="82">
        <f t="shared" si="39"/>
        <v>0</v>
      </c>
      <c r="I1208" s="81" t="str">
        <f>CONCATENATE(Data!M1208,"-",Data!L1208)</f>
        <v>-</v>
      </c>
      <c r="N1208" s="81">
        <f>IF(Data!P1208,DATEDIF(Data!O1208,Data!P1208,"d"),0)</f>
        <v>0</v>
      </c>
      <c r="O1208" s="81">
        <f>IF(Data!M1208="CD",1,0)</f>
        <v>0</v>
      </c>
      <c r="P1208" s="81">
        <f>IF(Data!M1208="CD",0,1)</f>
        <v>1</v>
      </c>
      <c r="Q1208" s="81">
        <f>IF(Data!Q1208&gt;Data!P1208,DATEDIF(Data!P1208,Data!Q1208,"d"),0)</f>
        <v>0</v>
      </c>
      <c r="R1208" s="81">
        <f>IF(Data!R1208&gt;Data!Q1208,DATEDIF(Data!Q1208,Data!R1208,"d"),0)</f>
        <v>0</v>
      </c>
    </row>
    <row r="1209" spans="3:18" x14ac:dyDescent="0.2">
      <c r="C1209" s="80">
        <f t="shared" ca="1" si="38"/>
        <v>45959</v>
      </c>
      <c r="D1209" s="81">
        <f>IF(Data!I1209&lt;&gt;"",DATEDIF(Data!I1209,C1209,"m"),0)</f>
        <v>0</v>
      </c>
      <c r="E1209" s="82">
        <f t="shared" si="39"/>
        <v>0</v>
      </c>
      <c r="I1209" s="81" t="str">
        <f>CONCATENATE(Data!M1209,"-",Data!L1209)</f>
        <v>-</v>
      </c>
      <c r="N1209" s="81">
        <f>IF(Data!P1209,DATEDIF(Data!O1209,Data!P1209,"d"),0)</f>
        <v>0</v>
      </c>
      <c r="O1209" s="81">
        <f>IF(Data!M1209="CD",1,0)</f>
        <v>0</v>
      </c>
      <c r="P1209" s="81">
        <f>IF(Data!M1209="CD",0,1)</f>
        <v>1</v>
      </c>
      <c r="Q1209" s="81">
        <f>IF(Data!Q1209&gt;Data!P1209,DATEDIF(Data!P1209,Data!Q1209,"d"),0)</f>
        <v>0</v>
      </c>
      <c r="R1209" s="81">
        <f>IF(Data!R1209&gt;Data!Q1209,DATEDIF(Data!Q1209,Data!R1209,"d"),0)</f>
        <v>0</v>
      </c>
    </row>
    <row r="1210" spans="3:18" x14ac:dyDescent="0.2">
      <c r="C1210" s="80">
        <f t="shared" ca="1" si="38"/>
        <v>45959</v>
      </c>
      <c r="D1210" s="81">
        <f>IF(Data!I1210&lt;&gt;"",DATEDIF(Data!I1210,C1210,"m"),0)</f>
        <v>0</v>
      </c>
      <c r="E1210" s="82">
        <f t="shared" si="39"/>
        <v>0</v>
      </c>
      <c r="I1210" s="81" t="str">
        <f>CONCATENATE(Data!M1210,"-",Data!L1210)</f>
        <v>-</v>
      </c>
      <c r="N1210" s="81">
        <f>IF(Data!P1210,DATEDIF(Data!O1210,Data!P1210,"d"),0)</f>
        <v>0</v>
      </c>
      <c r="O1210" s="81">
        <f>IF(Data!M1210="CD",1,0)</f>
        <v>0</v>
      </c>
      <c r="P1210" s="81">
        <f>IF(Data!M1210="CD",0,1)</f>
        <v>1</v>
      </c>
      <c r="Q1210" s="81">
        <f>IF(Data!Q1210&gt;Data!P1210,DATEDIF(Data!P1210,Data!Q1210,"d"),0)</f>
        <v>0</v>
      </c>
      <c r="R1210" s="81">
        <f>IF(Data!R1210&gt;Data!Q1210,DATEDIF(Data!Q1210,Data!R1210,"d"),0)</f>
        <v>0</v>
      </c>
    </row>
    <row r="1211" spans="3:18" x14ac:dyDescent="0.2">
      <c r="C1211" s="80">
        <f t="shared" ca="1" si="38"/>
        <v>45959</v>
      </c>
      <c r="D1211" s="81">
        <f>IF(Data!I1211&lt;&gt;"",DATEDIF(Data!I1211,C1211,"m"),0)</f>
        <v>0</v>
      </c>
      <c r="E1211" s="82">
        <f t="shared" si="39"/>
        <v>0</v>
      </c>
      <c r="I1211" s="81" t="str">
        <f>CONCATENATE(Data!M1211,"-",Data!L1211)</f>
        <v>-</v>
      </c>
      <c r="N1211" s="81">
        <f>IF(Data!P1211,DATEDIF(Data!O1211,Data!P1211,"d"),0)</f>
        <v>0</v>
      </c>
      <c r="O1211" s="81">
        <f>IF(Data!M1211="CD",1,0)</f>
        <v>0</v>
      </c>
      <c r="P1211" s="81">
        <f>IF(Data!M1211="CD",0,1)</f>
        <v>1</v>
      </c>
      <c r="Q1211" s="81">
        <f>IF(Data!Q1211&gt;Data!P1211,DATEDIF(Data!P1211,Data!Q1211,"d"),0)</f>
        <v>0</v>
      </c>
      <c r="R1211" s="81">
        <f>IF(Data!R1211&gt;Data!Q1211,DATEDIF(Data!Q1211,Data!R1211,"d"),0)</f>
        <v>0</v>
      </c>
    </row>
    <row r="1212" spans="3:18" x14ac:dyDescent="0.2">
      <c r="C1212" s="80">
        <f t="shared" ca="1" si="38"/>
        <v>45959</v>
      </c>
      <c r="D1212" s="81">
        <f>IF(Data!I1212&lt;&gt;"",DATEDIF(Data!I1212,C1212,"m"),0)</f>
        <v>0</v>
      </c>
      <c r="E1212" s="82">
        <f t="shared" si="39"/>
        <v>0</v>
      </c>
      <c r="I1212" s="81" t="str">
        <f>CONCATENATE(Data!M1212,"-",Data!L1212)</f>
        <v>-</v>
      </c>
      <c r="N1212" s="81">
        <f>IF(Data!P1212,DATEDIF(Data!O1212,Data!P1212,"d"),0)</f>
        <v>0</v>
      </c>
      <c r="O1212" s="81">
        <f>IF(Data!M1212="CD",1,0)</f>
        <v>0</v>
      </c>
      <c r="P1212" s="81">
        <f>IF(Data!M1212="CD",0,1)</f>
        <v>1</v>
      </c>
      <c r="Q1212" s="81">
        <f>IF(Data!Q1212&gt;Data!P1212,DATEDIF(Data!P1212,Data!Q1212,"d"),0)</f>
        <v>0</v>
      </c>
      <c r="R1212" s="81">
        <f>IF(Data!R1212&gt;Data!Q1212,DATEDIF(Data!Q1212,Data!R1212,"d"),0)</f>
        <v>0</v>
      </c>
    </row>
    <row r="1213" spans="3:18" x14ac:dyDescent="0.2">
      <c r="C1213" s="80">
        <f t="shared" ca="1" si="38"/>
        <v>45959</v>
      </c>
      <c r="D1213" s="81">
        <f>IF(Data!I1213&lt;&gt;"",DATEDIF(Data!I1213,C1213,"m"),0)</f>
        <v>0</v>
      </c>
      <c r="E1213" s="82">
        <f t="shared" si="39"/>
        <v>0</v>
      </c>
      <c r="I1213" s="81" t="str">
        <f>CONCATENATE(Data!M1213,"-",Data!L1213)</f>
        <v>-</v>
      </c>
      <c r="N1213" s="81">
        <f>IF(Data!P1213,DATEDIF(Data!O1213,Data!P1213,"d"),0)</f>
        <v>0</v>
      </c>
      <c r="O1213" s="81">
        <f>IF(Data!M1213="CD",1,0)</f>
        <v>0</v>
      </c>
      <c r="P1213" s="81">
        <f>IF(Data!M1213="CD",0,1)</f>
        <v>1</v>
      </c>
      <c r="Q1213" s="81">
        <f>IF(Data!Q1213&gt;Data!P1213,DATEDIF(Data!P1213,Data!Q1213,"d"),0)</f>
        <v>0</v>
      </c>
      <c r="R1213" s="81">
        <f>IF(Data!R1213&gt;Data!Q1213,DATEDIF(Data!Q1213,Data!R1213,"d"),0)</f>
        <v>0</v>
      </c>
    </row>
    <row r="1214" spans="3:18" x14ac:dyDescent="0.2">
      <c r="C1214" s="80">
        <f t="shared" ca="1" si="38"/>
        <v>45959</v>
      </c>
      <c r="D1214" s="81">
        <f>IF(Data!I1214&lt;&gt;"",DATEDIF(Data!I1214,C1214,"m"),0)</f>
        <v>0</v>
      </c>
      <c r="E1214" s="82">
        <f t="shared" si="39"/>
        <v>0</v>
      </c>
      <c r="I1214" s="81" t="str">
        <f>CONCATENATE(Data!M1214,"-",Data!L1214)</f>
        <v>-</v>
      </c>
      <c r="N1214" s="81">
        <f>IF(Data!P1214,DATEDIF(Data!O1214,Data!P1214,"d"),0)</f>
        <v>0</v>
      </c>
      <c r="O1214" s="81">
        <f>IF(Data!M1214="CD",1,0)</f>
        <v>0</v>
      </c>
      <c r="P1214" s="81">
        <f>IF(Data!M1214="CD",0,1)</f>
        <v>1</v>
      </c>
      <c r="Q1214" s="81">
        <f>IF(Data!Q1214&gt;Data!P1214,DATEDIF(Data!P1214,Data!Q1214,"d"),0)</f>
        <v>0</v>
      </c>
      <c r="R1214" s="81">
        <f>IF(Data!R1214&gt;Data!Q1214,DATEDIF(Data!Q1214,Data!R1214,"d"),0)</f>
        <v>0</v>
      </c>
    </row>
    <row r="1215" spans="3:18" x14ac:dyDescent="0.2">
      <c r="C1215" s="80">
        <f t="shared" ca="1" si="38"/>
        <v>45959</v>
      </c>
      <c r="D1215" s="81">
        <f>IF(Data!I1215&lt;&gt;"",DATEDIF(Data!I1215,C1215,"m"),0)</f>
        <v>0</v>
      </c>
      <c r="E1215" s="82">
        <f t="shared" si="39"/>
        <v>0</v>
      </c>
      <c r="I1215" s="81" t="str">
        <f>CONCATENATE(Data!M1215,"-",Data!L1215)</f>
        <v>-</v>
      </c>
      <c r="N1215" s="81">
        <f>IF(Data!P1215,DATEDIF(Data!O1215,Data!P1215,"d"),0)</f>
        <v>0</v>
      </c>
      <c r="O1215" s="81">
        <f>IF(Data!M1215="CD",1,0)</f>
        <v>0</v>
      </c>
      <c r="P1215" s="81">
        <f>IF(Data!M1215="CD",0,1)</f>
        <v>1</v>
      </c>
      <c r="Q1215" s="81">
        <f>IF(Data!Q1215&gt;Data!P1215,DATEDIF(Data!P1215,Data!Q1215,"d"),0)</f>
        <v>0</v>
      </c>
      <c r="R1215" s="81">
        <f>IF(Data!R1215&gt;Data!Q1215,DATEDIF(Data!Q1215,Data!R1215,"d"),0)</f>
        <v>0</v>
      </c>
    </row>
    <row r="1216" spans="3:18" x14ac:dyDescent="0.2">
      <c r="C1216" s="80">
        <f t="shared" ca="1" si="38"/>
        <v>45959</v>
      </c>
      <c r="D1216" s="81">
        <f>IF(Data!I1216&lt;&gt;"",DATEDIF(Data!I1216,C1216,"m"),0)</f>
        <v>0</v>
      </c>
      <c r="E1216" s="82">
        <f t="shared" si="39"/>
        <v>0</v>
      </c>
      <c r="I1216" s="81" t="str">
        <f>CONCATENATE(Data!M1216,"-",Data!L1216)</f>
        <v>-</v>
      </c>
      <c r="N1216" s="81">
        <f>IF(Data!P1216,DATEDIF(Data!O1216,Data!P1216,"d"),0)</f>
        <v>0</v>
      </c>
      <c r="O1216" s="81">
        <f>IF(Data!M1216="CD",1,0)</f>
        <v>0</v>
      </c>
      <c r="P1216" s="81">
        <f>IF(Data!M1216="CD",0,1)</f>
        <v>1</v>
      </c>
      <c r="Q1216" s="81">
        <f>IF(Data!Q1216&gt;Data!P1216,DATEDIF(Data!P1216,Data!Q1216,"d"),0)</f>
        <v>0</v>
      </c>
      <c r="R1216" s="81">
        <f>IF(Data!R1216&gt;Data!Q1216,DATEDIF(Data!Q1216,Data!R1216,"d"),0)</f>
        <v>0</v>
      </c>
    </row>
    <row r="1217" spans="3:18" x14ac:dyDescent="0.2">
      <c r="C1217" s="80">
        <f t="shared" ca="1" si="38"/>
        <v>45959</v>
      </c>
      <c r="D1217" s="81">
        <f>IF(Data!I1217&lt;&gt;"",DATEDIF(Data!I1217,C1217,"m"),0)</f>
        <v>0</v>
      </c>
      <c r="E1217" s="82">
        <f t="shared" si="39"/>
        <v>0</v>
      </c>
      <c r="I1217" s="81" t="str">
        <f>CONCATENATE(Data!M1217,"-",Data!L1217)</f>
        <v>-</v>
      </c>
      <c r="N1217" s="81">
        <f>IF(Data!P1217,DATEDIF(Data!O1217,Data!P1217,"d"),0)</f>
        <v>0</v>
      </c>
      <c r="O1217" s="81">
        <f>IF(Data!M1217="CD",1,0)</f>
        <v>0</v>
      </c>
      <c r="P1217" s="81">
        <f>IF(Data!M1217="CD",0,1)</f>
        <v>1</v>
      </c>
      <c r="Q1217" s="81">
        <f>IF(Data!Q1217&gt;Data!P1217,DATEDIF(Data!P1217,Data!Q1217,"d"),0)</f>
        <v>0</v>
      </c>
      <c r="R1217" s="81">
        <f>IF(Data!R1217&gt;Data!Q1217,DATEDIF(Data!Q1217,Data!R1217,"d"),0)</f>
        <v>0</v>
      </c>
    </row>
    <row r="1218" spans="3:18" x14ac:dyDescent="0.2">
      <c r="C1218" s="80">
        <f t="shared" ref="C1218:C1281" ca="1" si="40">TODAY()</f>
        <v>45959</v>
      </c>
      <c r="D1218" s="81">
        <f>IF(Data!I1218&lt;&gt;"",DATEDIF(Data!I1218,C1218,"m"),0)</f>
        <v>0</v>
      </c>
      <c r="E1218" s="82">
        <f t="shared" si="39"/>
        <v>0</v>
      </c>
      <c r="I1218" s="81" t="str">
        <f>CONCATENATE(Data!M1218,"-",Data!L1218)</f>
        <v>-</v>
      </c>
      <c r="N1218" s="81">
        <f>IF(Data!P1218,DATEDIF(Data!O1218,Data!P1218,"d"),0)</f>
        <v>0</v>
      </c>
      <c r="O1218" s="81">
        <f>IF(Data!M1218="CD",1,0)</f>
        <v>0</v>
      </c>
      <c r="P1218" s="81">
        <f>IF(Data!M1218="CD",0,1)</f>
        <v>1</v>
      </c>
      <c r="Q1218" s="81">
        <f>IF(Data!Q1218&gt;Data!P1218,DATEDIF(Data!P1218,Data!Q1218,"d"),0)</f>
        <v>0</v>
      </c>
      <c r="R1218" s="81">
        <f>IF(Data!R1218&gt;Data!Q1218,DATEDIF(Data!Q1218,Data!R1218,"d"),0)</f>
        <v>0</v>
      </c>
    </row>
    <row r="1219" spans="3:18" x14ac:dyDescent="0.2">
      <c r="C1219" s="80">
        <f t="shared" ca="1" si="40"/>
        <v>45959</v>
      </c>
      <c r="D1219" s="81">
        <f>IF(Data!I1219&lt;&gt;"",DATEDIF(Data!I1219,C1219,"m"),0)</f>
        <v>0</v>
      </c>
      <c r="E1219" s="82">
        <f t="shared" ref="E1219:E1282" si="41">D1219/12</f>
        <v>0</v>
      </c>
      <c r="I1219" s="81" t="str">
        <f>CONCATENATE(Data!M1219,"-",Data!L1219)</f>
        <v>-</v>
      </c>
      <c r="N1219" s="81">
        <f>IF(Data!P1219,DATEDIF(Data!O1219,Data!P1219,"d"),0)</f>
        <v>0</v>
      </c>
      <c r="O1219" s="81">
        <f>IF(Data!M1219="CD",1,0)</f>
        <v>0</v>
      </c>
      <c r="P1219" s="81">
        <f>IF(Data!M1219="CD",0,1)</f>
        <v>1</v>
      </c>
      <c r="Q1219" s="81">
        <f>IF(Data!Q1219&gt;Data!P1219,DATEDIF(Data!P1219,Data!Q1219,"d"),0)</f>
        <v>0</v>
      </c>
      <c r="R1219" s="81">
        <f>IF(Data!R1219&gt;Data!Q1219,DATEDIF(Data!Q1219,Data!R1219,"d"),0)</f>
        <v>0</v>
      </c>
    </row>
    <row r="1220" spans="3:18" x14ac:dyDescent="0.2">
      <c r="C1220" s="80">
        <f t="shared" ca="1" si="40"/>
        <v>45959</v>
      </c>
      <c r="D1220" s="81">
        <f>IF(Data!I1220&lt;&gt;"",DATEDIF(Data!I1220,C1220,"m"),0)</f>
        <v>0</v>
      </c>
      <c r="E1220" s="82">
        <f t="shared" si="41"/>
        <v>0</v>
      </c>
      <c r="I1220" s="81" t="str">
        <f>CONCATENATE(Data!M1220,"-",Data!L1220)</f>
        <v>-</v>
      </c>
      <c r="N1220" s="81">
        <f>IF(Data!P1220,DATEDIF(Data!O1220,Data!P1220,"d"),0)</f>
        <v>0</v>
      </c>
      <c r="O1220" s="81">
        <f>IF(Data!M1220="CD",1,0)</f>
        <v>0</v>
      </c>
      <c r="P1220" s="81">
        <f>IF(Data!M1220="CD",0,1)</f>
        <v>1</v>
      </c>
      <c r="Q1220" s="81">
        <f>IF(Data!Q1220&gt;Data!P1220,DATEDIF(Data!P1220,Data!Q1220,"d"),0)</f>
        <v>0</v>
      </c>
      <c r="R1220" s="81">
        <f>IF(Data!R1220&gt;Data!Q1220,DATEDIF(Data!Q1220,Data!R1220,"d"),0)</f>
        <v>0</v>
      </c>
    </row>
    <row r="1221" spans="3:18" x14ac:dyDescent="0.2">
      <c r="C1221" s="80">
        <f t="shared" ca="1" si="40"/>
        <v>45959</v>
      </c>
      <c r="D1221" s="81">
        <f>IF(Data!I1221&lt;&gt;"",DATEDIF(Data!I1221,C1221,"m"),0)</f>
        <v>0</v>
      </c>
      <c r="E1221" s="82">
        <f t="shared" si="41"/>
        <v>0</v>
      </c>
      <c r="I1221" s="81" t="str">
        <f>CONCATENATE(Data!M1221,"-",Data!L1221)</f>
        <v>-</v>
      </c>
      <c r="N1221" s="81">
        <f>IF(Data!P1221,DATEDIF(Data!O1221,Data!P1221,"d"),0)</f>
        <v>0</v>
      </c>
      <c r="O1221" s="81">
        <f>IF(Data!M1221="CD",1,0)</f>
        <v>0</v>
      </c>
      <c r="P1221" s="81">
        <f>IF(Data!M1221="CD",0,1)</f>
        <v>1</v>
      </c>
      <c r="Q1221" s="81">
        <f>IF(Data!Q1221&gt;Data!P1221,DATEDIF(Data!P1221,Data!Q1221,"d"),0)</f>
        <v>0</v>
      </c>
      <c r="R1221" s="81">
        <f>IF(Data!R1221&gt;Data!Q1221,DATEDIF(Data!Q1221,Data!R1221,"d"),0)</f>
        <v>0</v>
      </c>
    </row>
    <row r="1222" spans="3:18" x14ac:dyDescent="0.2">
      <c r="C1222" s="80">
        <f t="shared" ca="1" si="40"/>
        <v>45959</v>
      </c>
      <c r="D1222" s="81">
        <f>IF(Data!I1222&lt;&gt;"",DATEDIF(Data!I1222,C1222,"m"),0)</f>
        <v>0</v>
      </c>
      <c r="E1222" s="82">
        <f t="shared" si="41"/>
        <v>0</v>
      </c>
      <c r="I1222" s="81" t="str">
        <f>CONCATENATE(Data!M1222,"-",Data!L1222)</f>
        <v>-</v>
      </c>
      <c r="N1222" s="81">
        <f>IF(Data!P1222,DATEDIF(Data!O1222,Data!P1222,"d"),0)</f>
        <v>0</v>
      </c>
      <c r="O1222" s="81">
        <f>IF(Data!M1222="CD",1,0)</f>
        <v>0</v>
      </c>
      <c r="P1222" s="81">
        <f>IF(Data!M1222="CD",0,1)</f>
        <v>1</v>
      </c>
      <c r="Q1222" s="81">
        <f>IF(Data!Q1222&gt;Data!P1222,DATEDIF(Data!P1222,Data!Q1222,"d"),0)</f>
        <v>0</v>
      </c>
      <c r="R1222" s="81">
        <f>IF(Data!R1222&gt;Data!Q1222,DATEDIF(Data!Q1222,Data!R1222,"d"),0)</f>
        <v>0</v>
      </c>
    </row>
    <row r="1223" spans="3:18" x14ac:dyDescent="0.2">
      <c r="C1223" s="80">
        <f t="shared" ca="1" si="40"/>
        <v>45959</v>
      </c>
      <c r="D1223" s="81">
        <f>IF(Data!I1223&lt;&gt;"",DATEDIF(Data!I1223,C1223,"m"),0)</f>
        <v>0</v>
      </c>
      <c r="E1223" s="82">
        <f t="shared" si="41"/>
        <v>0</v>
      </c>
      <c r="I1223" s="81" t="str">
        <f>CONCATENATE(Data!M1223,"-",Data!L1223)</f>
        <v>-</v>
      </c>
      <c r="N1223" s="81">
        <f>IF(Data!P1223,DATEDIF(Data!O1223,Data!P1223,"d"),0)</f>
        <v>0</v>
      </c>
      <c r="O1223" s="81">
        <f>IF(Data!M1223="CD",1,0)</f>
        <v>0</v>
      </c>
      <c r="P1223" s="81">
        <f>IF(Data!M1223="CD",0,1)</f>
        <v>1</v>
      </c>
      <c r="Q1223" s="81">
        <f>IF(Data!Q1223&gt;Data!P1223,DATEDIF(Data!P1223,Data!Q1223,"d"),0)</f>
        <v>0</v>
      </c>
      <c r="R1223" s="81">
        <f>IF(Data!R1223&gt;Data!Q1223,DATEDIF(Data!Q1223,Data!R1223,"d"),0)</f>
        <v>0</v>
      </c>
    </row>
    <row r="1224" spans="3:18" x14ac:dyDescent="0.2">
      <c r="C1224" s="80">
        <f t="shared" ca="1" si="40"/>
        <v>45959</v>
      </c>
      <c r="D1224" s="81">
        <f>IF(Data!I1224&lt;&gt;"",DATEDIF(Data!I1224,C1224,"m"),0)</f>
        <v>0</v>
      </c>
      <c r="E1224" s="82">
        <f t="shared" si="41"/>
        <v>0</v>
      </c>
      <c r="I1224" s="81" t="str">
        <f>CONCATENATE(Data!M1224,"-",Data!L1224)</f>
        <v>-</v>
      </c>
      <c r="N1224" s="81">
        <f>IF(Data!P1224,DATEDIF(Data!O1224,Data!P1224,"d"),0)</f>
        <v>0</v>
      </c>
      <c r="O1224" s="81">
        <f>IF(Data!M1224="CD",1,0)</f>
        <v>0</v>
      </c>
      <c r="P1224" s="81">
        <f>IF(Data!M1224="CD",0,1)</f>
        <v>1</v>
      </c>
      <c r="Q1224" s="81">
        <f>IF(Data!Q1224&gt;Data!P1224,DATEDIF(Data!P1224,Data!Q1224,"d"),0)</f>
        <v>0</v>
      </c>
      <c r="R1224" s="81">
        <f>IF(Data!R1224&gt;Data!Q1224,DATEDIF(Data!Q1224,Data!R1224,"d"),0)</f>
        <v>0</v>
      </c>
    </row>
    <row r="1225" spans="3:18" x14ac:dyDescent="0.2">
      <c r="C1225" s="80">
        <f t="shared" ca="1" si="40"/>
        <v>45959</v>
      </c>
      <c r="D1225" s="81">
        <f>IF(Data!I1225&lt;&gt;"",DATEDIF(Data!I1225,C1225,"m"),0)</f>
        <v>0</v>
      </c>
      <c r="E1225" s="82">
        <f t="shared" si="41"/>
        <v>0</v>
      </c>
      <c r="I1225" s="81" t="str">
        <f>CONCATENATE(Data!M1225,"-",Data!L1225)</f>
        <v>-</v>
      </c>
      <c r="N1225" s="81">
        <f>IF(Data!P1225,DATEDIF(Data!O1225,Data!P1225,"d"),0)</f>
        <v>0</v>
      </c>
      <c r="O1225" s="81">
        <f>IF(Data!M1225="CD",1,0)</f>
        <v>0</v>
      </c>
      <c r="P1225" s="81">
        <f>IF(Data!M1225="CD",0,1)</f>
        <v>1</v>
      </c>
      <c r="Q1225" s="81">
        <f>IF(Data!Q1225&gt;Data!P1225,DATEDIF(Data!P1225,Data!Q1225,"d"),0)</f>
        <v>0</v>
      </c>
      <c r="R1225" s="81">
        <f>IF(Data!R1225&gt;Data!Q1225,DATEDIF(Data!Q1225,Data!R1225,"d"),0)</f>
        <v>0</v>
      </c>
    </row>
    <row r="1226" spans="3:18" x14ac:dyDescent="0.2">
      <c r="C1226" s="80">
        <f t="shared" ca="1" si="40"/>
        <v>45959</v>
      </c>
      <c r="D1226" s="81">
        <f>IF(Data!I1226&lt;&gt;"",DATEDIF(Data!I1226,C1226,"m"),0)</f>
        <v>0</v>
      </c>
      <c r="E1226" s="82">
        <f t="shared" si="41"/>
        <v>0</v>
      </c>
      <c r="I1226" s="81" t="str">
        <f>CONCATENATE(Data!M1226,"-",Data!L1226)</f>
        <v>-</v>
      </c>
      <c r="N1226" s="81">
        <f>IF(Data!P1226,DATEDIF(Data!O1226,Data!P1226,"d"),0)</f>
        <v>0</v>
      </c>
      <c r="O1226" s="81">
        <f>IF(Data!M1226="CD",1,0)</f>
        <v>0</v>
      </c>
      <c r="P1226" s="81">
        <f>IF(Data!M1226="CD",0,1)</f>
        <v>1</v>
      </c>
      <c r="Q1226" s="81">
        <f>IF(Data!Q1226&gt;Data!P1226,DATEDIF(Data!P1226,Data!Q1226,"d"),0)</f>
        <v>0</v>
      </c>
      <c r="R1226" s="81">
        <f>IF(Data!R1226&gt;Data!Q1226,DATEDIF(Data!Q1226,Data!R1226,"d"),0)</f>
        <v>0</v>
      </c>
    </row>
    <row r="1227" spans="3:18" x14ac:dyDescent="0.2">
      <c r="C1227" s="80">
        <f t="shared" ca="1" si="40"/>
        <v>45959</v>
      </c>
      <c r="D1227" s="81">
        <f>IF(Data!I1227&lt;&gt;"",DATEDIF(Data!I1227,C1227,"m"),0)</f>
        <v>0</v>
      </c>
      <c r="E1227" s="82">
        <f t="shared" si="41"/>
        <v>0</v>
      </c>
      <c r="I1227" s="81" t="str">
        <f>CONCATENATE(Data!M1227,"-",Data!L1227)</f>
        <v>-</v>
      </c>
      <c r="N1227" s="81">
        <f>IF(Data!P1227,DATEDIF(Data!O1227,Data!P1227,"d"),0)</f>
        <v>0</v>
      </c>
      <c r="O1227" s="81">
        <f>IF(Data!M1227="CD",1,0)</f>
        <v>0</v>
      </c>
      <c r="P1227" s="81">
        <f>IF(Data!M1227="CD",0,1)</f>
        <v>1</v>
      </c>
      <c r="Q1227" s="81">
        <f>IF(Data!Q1227&gt;Data!P1227,DATEDIF(Data!P1227,Data!Q1227,"d"),0)</f>
        <v>0</v>
      </c>
      <c r="R1227" s="81">
        <f>IF(Data!R1227&gt;Data!Q1227,DATEDIF(Data!Q1227,Data!R1227,"d"),0)</f>
        <v>0</v>
      </c>
    </row>
    <row r="1228" spans="3:18" x14ac:dyDescent="0.2">
      <c r="C1228" s="80">
        <f t="shared" ca="1" si="40"/>
        <v>45959</v>
      </c>
      <c r="D1228" s="81">
        <f>IF(Data!I1228&lt;&gt;"",DATEDIF(Data!I1228,C1228,"m"),0)</f>
        <v>0</v>
      </c>
      <c r="E1228" s="82">
        <f t="shared" si="41"/>
        <v>0</v>
      </c>
      <c r="I1228" s="81" t="str">
        <f>CONCATENATE(Data!M1228,"-",Data!L1228)</f>
        <v>-</v>
      </c>
      <c r="N1228" s="81">
        <f>IF(Data!P1228,DATEDIF(Data!O1228,Data!P1228,"d"),0)</f>
        <v>0</v>
      </c>
      <c r="O1228" s="81">
        <f>IF(Data!M1228="CD",1,0)</f>
        <v>0</v>
      </c>
      <c r="P1228" s="81">
        <f>IF(Data!M1228="CD",0,1)</f>
        <v>1</v>
      </c>
      <c r="Q1228" s="81">
        <f>IF(Data!Q1228&gt;Data!P1228,DATEDIF(Data!P1228,Data!Q1228,"d"),0)</f>
        <v>0</v>
      </c>
      <c r="R1228" s="81">
        <f>IF(Data!R1228&gt;Data!Q1228,DATEDIF(Data!Q1228,Data!R1228,"d"),0)</f>
        <v>0</v>
      </c>
    </row>
    <row r="1229" spans="3:18" x14ac:dyDescent="0.2">
      <c r="C1229" s="80">
        <f t="shared" ca="1" si="40"/>
        <v>45959</v>
      </c>
      <c r="D1229" s="81">
        <f>IF(Data!I1229&lt;&gt;"",DATEDIF(Data!I1229,C1229,"m"),0)</f>
        <v>0</v>
      </c>
      <c r="E1229" s="82">
        <f t="shared" si="41"/>
        <v>0</v>
      </c>
      <c r="I1229" s="81" t="str">
        <f>CONCATENATE(Data!M1229,"-",Data!L1229)</f>
        <v>-</v>
      </c>
      <c r="N1229" s="81">
        <f>IF(Data!P1229,DATEDIF(Data!O1229,Data!P1229,"d"),0)</f>
        <v>0</v>
      </c>
      <c r="O1229" s="81">
        <f>IF(Data!M1229="CD",1,0)</f>
        <v>0</v>
      </c>
      <c r="P1229" s="81">
        <f>IF(Data!M1229="CD",0,1)</f>
        <v>1</v>
      </c>
      <c r="Q1229" s="81">
        <f>IF(Data!Q1229&gt;Data!P1229,DATEDIF(Data!P1229,Data!Q1229,"d"),0)</f>
        <v>0</v>
      </c>
      <c r="R1229" s="81">
        <f>IF(Data!R1229&gt;Data!Q1229,DATEDIF(Data!Q1229,Data!R1229,"d"),0)</f>
        <v>0</v>
      </c>
    </row>
    <row r="1230" spans="3:18" x14ac:dyDescent="0.2">
      <c r="C1230" s="80">
        <f t="shared" ca="1" si="40"/>
        <v>45959</v>
      </c>
      <c r="D1230" s="81">
        <f>IF(Data!I1230&lt;&gt;"",DATEDIF(Data!I1230,C1230,"m"),0)</f>
        <v>0</v>
      </c>
      <c r="E1230" s="82">
        <f t="shared" si="41"/>
        <v>0</v>
      </c>
      <c r="I1230" s="81" t="str">
        <f>CONCATENATE(Data!M1230,"-",Data!L1230)</f>
        <v>-</v>
      </c>
      <c r="N1230" s="81">
        <f>IF(Data!P1230,DATEDIF(Data!O1230,Data!P1230,"d"),0)</f>
        <v>0</v>
      </c>
      <c r="O1230" s="81">
        <f>IF(Data!M1230="CD",1,0)</f>
        <v>0</v>
      </c>
      <c r="P1230" s="81">
        <f>IF(Data!M1230="CD",0,1)</f>
        <v>1</v>
      </c>
      <c r="Q1230" s="81">
        <f>IF(Data!Q1230&gt;Data!P1230,DATEDIF(Data!P1230,Data!Q1230,"d"),0)</f>
        <v>0</v>
      </c>
      <c r="R1230" s="81">
        <f>IF(Data!R1230&gt;Data!Q1230,DATEDIF(Data!Q1230,Data!R1230,"d"),0)</f>
        <v>0</v>
      </c>
    </row>
    <row r="1231" spans="3:18" x14ac:dyDescent="0.2">
      <c r="C1231" s="80">
        <f t="shared" ca="1" si="40"/>
        <v>45959</v>
      </c>
      <c r="D1231" s="81">
        <f>IF(Data!I1231&lt;&gt;"",DATEDIF(Data!I1231,C1231,"m"),0)</f>
        <v>0</v>
      </c>
      <c r="E1231" s="82">
        <f t="shared" si="41"/>
        <v>0</v>
      </c>
      <c r="I1231" s="81" t="str">
        <f>CONCATENATE(Data!M1231,"-",Data!L1231)</f>
        <v>-</v>
      </c>
      <c r="N1231" s="81">
        <f>IF(Data!P1231,DATEDIF(Data!O1231,Data!P1231,"d"),0)</f>
        <v>0</v>
      </c>
      <c r="O1231" s="81">
        <f>IF(Data!M1231="CD",1,0)</f>
        <v>0</v>
      </c>
      <c r="P1231" s="81">
        <f>IF(Data!M1231="CD",0,1)</f>
        <v>1</v>
      </c>
      <c r="Q1231" s="81">
        <f>IF(Data!Q1231&gt;Data!P1231,DATEDIF(Data!P1231,Data!Q1231,"d"),0)</f>
        <v>0</v>
      </c>
      <c r="R1231" s="81">
        <f>IF(Data!R1231&gt;Data!Q1231,DATEDIF(Data!Q1231,Data!R1231,"d"),0)</f>
        <v>0</v>
      </c>
    </row>
    <row r="1232" spans="3:18" x14ac:dyDescent="0.2">
      <c r="C1232" s="80">
        <f t="shared" ca="1" si="40"/>
        <v>45959</v>
      </c>
      <c r="D1232" s="81">
        <f>IF(Data!I1232&lt;&gt;"",DATEDIF(Data!I1232,C1232,"m"),0)</f>
        <v>0</v>
      </c>
      <c r="E1232" s="82">
        <f t="shared" si="41"/>
        <v>0</v>
      </c>
      <c r="I1232" s="81" t="str">
        <f>CONCATENATE(Data!M1232,"-",Data!L1232)</f>
        <v>-</v>
      </c>
      <c r="N1232" s="81">
        <f>IF(Data!P1232,DATEDIF(Data!O1232,Data!P1232,"d"),0)</f>
        <v>0</v>
      </c>
      <c r="O1232" s="81">
        <f>IF(Data!M1232="CD",1,0)</f>
        <v>0</v>
      </c>
      <c r="P1232" s="81">
        <f>IF(Data!M1232="CD",0,1)</f>
        <v>1</v>
      </c>
      <c r="Q1232" s="81">
        <f>IF(Data!Q1232&gt;Data!P1232,DATEDIF(Data!P1232,Data!Q1232,"d"),0)</f>
        <v>0</v>
      </c>
      <c r="R1232" s="81">
        <f>IF(Data!R1232&gt;Data!Q1232,DATEDIF(Data!Q1232,Data!R1232,"d"),0)</f>
        <v>0</v>
      </c>
    </row>
    <row r="1233" spans="3:18" x14ac:dyDescent="0.2">
      <c r="C1233" s="80">
        <f t="shared" ca="1" si="40"/>
        <v>45959</v>
      </c>
      <c r="D1233" s="81">
        <f>IF(Data!I1233&lt;&gt;"",DATEDIF(Data!I1233,C1233,"m"),0)</f>
        <v>0</v>
      </c>
      <c r="E1233" s="82">
        <f t="shared" si="41"/>
        <v>0</v>
      </c>
      <c r="I1233" s="81" t="str">
        <f>CONCATENATE(Data!M1233,"-",Data!L1233)</f>
        <v>-</v>
      </c>
      <c r="N1233" s="81">
        <f>IF(Data!P1233,DATEDIF(Data!O1233,Data!P1233,"d"),0)</f>
        <v>0</v>
      </c>
      <c r="O1233" s="81">
        <f>IF(Data!M1233="CD",1,0)</f>
        <v>0</v>
      </c>
      <c r="P1233" s="81">
        <f>IF(Data!M1233="CD",0,1)</f>
        <v>1</v>
      </c>
      <c r="Q1233" s="81">
        <f>IF(Data!Q1233&gt;Data!P1233,DATEDIF(Data!P1233,Data!Q1233,"d"),0)</f>
        <v>0</v>
      </c>
      <c r="R1233" s="81">
        <f>IF(Data!R1233&gt;Data!Q1233,DATEDIF(Data!Q1233,Data!R1233,"d"),0)</f>
        <v>0</v>
      </c>
    </row>
    <row r="1234" spans="3:18" x14ac:dyDescent="0.2">
      <c r="C1234" s="80">
        <f t="shared" ca="1" si="40"/>
        <v>45959</v>
      </c>
      <c r="D1234" s="81">
        <f>IF(Data!I1234&lt;&gt;"",DATEDIF(Data!I1234,C1234,"m"),0)</f>
        <v>0</v>
      </c>
      <c r="E1234" s="82">
        <f t="shared" si="41"/>
        <v>0</v>
      </c>
      <c r="I1234" s="81" t="str">
        <f>CONCATENATE(Data!M1234,"-",Data!L1234)</f>
        <v>-</v>
      </c>
      <c r="N1234" s="81">
        <f>IF(Data!P1234,DATEDIF(Data!O1234,Data!P1234,"d"),0)</f>
        <v>0</v>
      </c>
      <c r="O1234" s="81">
        <f>IF(Data!M1234="CD",1,0)</f>
        <v>0</v>
      </c>
      <c r="P1234" s="81">
        <f>IF(Data!M1234="CD",0,1)</f>
        <v>1</v>
      </c>
      <c r="Q1234" s="81">
        <f>IF(Data!Q1234&gt;Data!P1234,DATEDIF(Data!P1234,Data!Q1234,"d"),0)</f>
        <v>0</v>
      </c>
      <c r="R1234" s="81">
        <f>IF(Data!R1234&gt;Data!Q1234,DATEDIF(Data!Q1234,Data!R1234,"d"),0)</f>
        <v>0</v>
      </c>
    </row>
    <row r="1235" spans="3:18" x14ac:dyDescent="0.2">
      <c r="C1235" s="80">
        <f t="shared" ca="1" si="40"/>
        <v>45959</v>
      </c>
      <c r="D1235" s="81">
        <f>IF(Data!I1235&lt;&gt;"",DATEDIF(Data!I1235,C1235,"m"),0)</f>
        <v>0</v>
      </c>
      <c r="E1235" s="82">
        <f t="shared" si="41"/>
        <v>0</v>
      </c>
      <c r="I1235" s="81" t="str">
        <f>CONCATENATE(Data!M1235,"-",Data!L1235)</f>
        <v>-</v>
      </c>
      <c r="N1235" s="81">
        <f>IF(Data!P1235,DATEDIF(Data!O1235,Data!P1235,"d"),0)</f>
        <v>0</v>
      </c>
      <c r="O1235" s="81">
        <f>IF(Data!M1235="CD",1,0)</f>
        <v>0</v>
      </c>
      <c r="P1235" s="81">
        <f>IF(Data!M1235="CD",0,1)</f>
        <v>1</v>
      </c>
      <c r="Q1235" s="81">
        <f>IF(Data!Q1235&gt;Data!P1235,DATEDIF(Data!P1235,Data!Q1235,"d"),0)</f>
        <v>0</v>
      </c>
      <c r="R1235" s="81">
        <f>IF(Data!R1235&gt;Data!Q1235,DATEDIF(Data!Q1235,Data!R1235,"d"),0)</f>
        <v>0</v>
      </c>
    </row>
    <row r="1236" spans="3:18" x14ac:dyDescent="0.2">
      <c r="C1236" s="80">
        <f t="shared" ca="1" si="40"/>
        <v>45959</v>
      </c>
      <c r="D1236" s="81">
        <f>IF(Data!I1236&lt;&gt;"",DATEDIF(Data!I1236,C1236,"m"),0)</f>
        <v>0</v>
      </c>
      <c r="E1236" s="82">
        <f t="shared" si="41"/>
        <v>0</v>
      </c>
      <c r="I1236" s="81" t="str">
        <f>CONCATENATE(Data!M1236,"-",Data!L1236)</f>
        <v>-</v>
      </c>
      <c r="N1236" s="81">
        <f>IF(Data!P1236,DATEDIF(Data!O1236,Data!P1236,"d"),0)</f>
        <v>0</v>
      </c>
      <c r="O1236" s="81">
        <f>IF(Data!M1236="CD",1,0)</f>
        <v>0</v>
      </c>
      <c r="P1236" s="81">
        <f>IF(Data!M1236="CD",0,1)</f>
        <v>1</v>
      </c>
      <c r="Q1236" s="81">
        <f>IF(Data!Q1236&gt;Data!P1236,DATEDIF(Data!P1236,Data!Q1236,"d"),0)</f>
        <v>0</v>
      </c>
      <c r="R1236" s="81">
        <f>IF(Data!R1236&gt;Data!Q1236,DATEDIF(Data!Q1236,Data!R1236,"d"),0)</f>
        <v>0</v>
      </c>
    </row>
    <row r="1237" spans="3:18" x14ac:dyDescent="0.2">
      <c r="C1237" s="80">
        <f t="shared" ca="1" si="40"/>
        <v>45959</v>
      </c>
      <c r="D1237" s="81">
        <f>IF(Data!I1237&lt;&gt;"",DATEDIF(Data!I1237,C1237,"m"),0)</f>
        <v>0</v>
      </c>
      <c r="E1237" s="82">
        <f t="shared" si="41"/>
        <v>0</v>
      </c>
      <c r="I1237" s="81" t="str">
        <f>CONCATENATE(Data!M1237,"-",Data!L1237)</f>
        <v>-</v>
      </c>
      <c r="N1237" s="81">
        <f>IF(Data!P1237,DATEDIF(Data!O1237,Data!P1237,"d"),0)</f>
        <v>0</v>
      </c>
      <c r="O1237" s="81">
        <f>IF(Data!M1237="CD",1,0)</f>
        <v>0</v>
      </c>
      <c r="P1237" s="81">
        <f>IF(Data!M1237="CD",0,1)</f>
        <v>1</v>
      </c>
      <c r="Q1237" s="81">
        <f>IF(Data!Q1237&gt;Data!P1237,DATEDIF(Data!P1237,Data!Q1237,"d"),0)</f>
        <v>0</v>
      </c>
      <c r="R1237" s="81">
        <f>IF(Data!R1237&gt;Data!Q1237,DATEDIF(Data!Q1237,Data!R1237,"d"),0)</f>
        <v>0</v>
      </c>
    </row>
    <row r="1238" spans="3:18" x14ac:dyDescent="0.2">
      <c r="C1238" s="80">
        <f t="shared" ca="1" si="40"/>
        <v>45959</v>
      </c>
      <c r="D1238" s="81">
        <f>IF(Data!I1238&lt;&gt;"",DATEDIF(Data!I1238,C1238,"m"),0)</f>
        <v>0</v>
      </c>
      <c r="E1238" s="82">
        <f t="shared" si="41"/>
        <v>0</v>
      </c>
      <c r="I1238" s="81" t="str">
        <f>CONCATENATE(Data!M1238,"-",Data!L1238)</f>
        <v>-</v>
      </c>
      <c r="N1238" s="81">
        <f>IF(Data!P1238,DATEDIF(Data!O1238,Data!P1238,"d"),0)</f>
        <v>0</v>
      </c>
      <c r="O1238" s="81">
        <f>IF(Data!M1238="CD",1,0)</f>
        <v>0</v>
      </c>
      <c r="P1238" s="81">
        <f>IF(Data!M1238="CD",0,1)</f>
        <v>1</v>
      </c>
      <c r="Q1238" s="81">
        <f>IF(Data!Q1238&gt;Data!P1238,DATEDIF(Data!P1238,Data!Q1238,"d"),0)</f>
        <v>0</v>
      </c>
      <c r="R1238" s="81">
        <f>IF(Data!R1238&gt;Data!Q1238,DATEDIF(Data!Q1238,Data!R1238,"d"),0)</f>
        <v>0</v>
      </c>
    </row>
    <row r="1239" spans="3:18" x14ac:dyDescent="0.2">
      <c r="C1239" s="80">
        <f t="shared" ca="1" si="40"/>
        <v>45959</v>
      </c>
      <c r="D1239" s="81">
        <f>IF(Data!I1239&lt;&gt;"",DATEDIF(Data!I1239,C1239,"m"),0)</f>
        <v>0</v>
      </c>
      <c r="E1239" s="82">
        <f t="shared" si="41"/>
        <v>0</v>
      </c>
      <c r="I1239" s="81" t="str">
        <f>CONCATENATE(Data!M1239,"-",Data!L1239)</f>
        <v>-</v>
      </c>
      <c r="N1239" s="81">
        <f>IF(Data!P1239,DATEDIF(Data!O1239,Data!P1239,"d"),0)</f>
        <v>0</v>
      </c>
      <c r="O1239" s="81">
        <f>IF(Data!M1239="CD",1,0)</f>
        <v>0</v>
      </c>
      <c r="P1239" s="81">
        <f>IF(Data!M1239="CD",0,1)</f>
        <v>1</v>
      </c>
      <c r="Q1239" s="81">
        <f>IF(Data!Q1239&gt;Data!P1239,DATEDIF(Data!P1239,Data!Q1239,"d"),0)</f>
        <v>0</v>
      </c>
      <c r="R1239" s="81">
        <f>IF(Data!R1239&gt;Data!Q1239,DATEDIF(Data!Q1239,Data!R1239,"d"),0)</f>
        <v>0</v>
      </c>
    </row>
    <row r="1240" spans="3:18" x14ac:dyDescent="0.2">
      <c r="C1240" s="80">
        <f t="shared" ca="1" si="40"/>
        <v>45959</v>
      </c>
      <c r="D1240" s="81">
        <f>IF(Data!I1240&lt;&gt;"",DATEDIF(Data!I1240,C1240,"m"),0)</f>
        <v>0</v>
      </c>
      <c r="E1240" s="82">
        <f t="shared" si="41"/>
        <v>0</v>
      </c>
      <c r="I1240" s="81" t="str">
        <f>CONCATENATE(Data!M1240,"-",Data!L1240)</f>
        <v>-</v>
      </c>
      <c r="N1240" s="81">
        <f>IF(Data!P1240,DATEDIF(Data!O1240,Data!P1240,"d"),0)</f>
        <v>0</v>
      </c>
      <c r="O1240" s="81">
        <f>IF(Data!M1240="CD",1,0)</f>
        <v>0</v>
      </c>
      <c r="P1240" s="81">
        <f>IF(Data!M1240="CD",0,1)</f>
        <v>1</v>
      </c>
      <c r="Q1240" s="81">
        <f>IF(Data!Q1240&gt;Data!P1240,DATEDIF(Data!P1240,Data!Q1240,"d"),0)</f>
        <v>0</v>
      </c>
      <c r="R1240" s="81">
        <f>IF(Data!R1240&gt;Data!Q1240,DATEDIF(Data!Q1240,Data!R1240,"d"),0)</f>
        <v>0</v>
      </c>
    </row>
    <row r="1241" spans="3:18" x14ac:dyDescent="0.2">
      <c r="C1241" s="80">
        <f t="shared" ca="1" si="40"/>
        <v>45959</v>
      </c>
      <c r="D1241" s="81">
        <f>IF(Data!I1241&lt;&gt;"",DATEDIF(Data!I1241,C1241,"m"),0)</f>
        <v>0</v>
      </c>
      <c r="E1241" s="82">
        <f t="shared" si="41"/>
        <v>0</v>
      </c>
      <c r="I1241" s="81" t="str">
        <f>CONCATENATE(Data!M1241,"-",Data!L1241)</f>
        <v>-</v>
      </c>
      <c r="N1241" s="81">
        <f>IF(Data!P1241,DATEDIF(Data!O1241,Data!P1241,"d"),0)</f>
        <v>0</v>
      </c>
      <c r="O1241" s="81">
        <f>IF(Data!M1241="CD",1,0)</f>
        <v>0</v>
      </c>
      <c r="P1241" s="81">
        <f>IF(Data!M1241="CD",0,1)</f>
        <v>1</v>
      </c>
      <c r="Q1241" s="81">
        <f>IF(Data!Q1241&gt;Data!P1241,DATEDIF(Data!P1241,Data!Q1241,"d"),0)</f>
        <v>0</v>
      </c>
      <c r="R1241" s="81">
        <f>IF(Data!R1241&gt;Data!Q1241,DATEDIF(Data!Q1241,Data!R1241,"d"),0)</f>
        <v>0</v>
      </c>
    </row>
    <row r="1242" spans="3:18" x14ac:dyDescent="0.2">
      <c r="C1242" s="80">
        <f t="shared" ca="1" si="40"/>
        <v>45959</v>
      </c>
      <c r="D1242" s="81">
        <f>IF(Data!I1242&lt;&gt;"",DATEDIF(Data!I1242,C1242,"m"),0)</f>
        <v>0</v>
      </c>
      <c r="E1242" s="82">
        <f t="shared" si="41"/>
        <v>0</v>
      </c>
      <c r="I1242" s="81" t="str">
        <f>CONCATENATE(Data!M1242,"-",Data!L1242)</f>
        <v>-</v>
      </c>
      <c r="N1242" s="81">
        <f>IF(Data!P1242,DATEDIF(Data!O1242,Data!P1242,"d"),0)</f>
        <v>0</v>
      </c>
      <c r="O1242" s="81">
        <f>IF(Data!M1242="CD",1,0)</f>
        <v>0</v>
      </c>
      <c r="P1242" s="81">
        <f>IF(Data!M1242="CD",0,1)</f>
        <v>1</v>
      </c>
      <c r="Q1242" s="81">
        <f>IF(Data!Q1242&gt;Data!P1242,DATEDIF(Data!P1242,Data!Q1242,"d"),0)</f>
        <v>0</v>
      </c>
      <c r="R1242" s="81">
        <f>IF(Data!R1242&gt;Data!Q1242,DATEDIF(Data!Q1242,Data!R1242,"d"),0)</f>
        <v>0</v>
      </c>
    </row>
    <row r="1243" spans="3:18" x14ac:dyDescent="0.2">
      <c r="C1243" s="80">
        <f t="shared" ca="1" si="40"/>
        <v>45959</v>
      </c>
      <c r="D1243" s="81">
        <f>IF(Data!I1243&lt;&gt;"",DATEDIF(Data!I1243,C1243,"m"),0)</f>
        <v>0</v>
      </c>
      <c r="E1243" s="82">
        <f t="shared" si="41"/>
        <v>0</v>
      </c>
      <c r="I1243" s="81" t="str">
        <f>CONCATENATE(Data!M1243,"-",Data!L1243)</f>
        <v>-</v>
      </c>
      <c r="N1243" s="81">
        <f>IF(Data!P1243,DATEDIF(Data!O1243,Data!P1243,"d"),0)</f>
        <v>0</v>
      </c>
      <c r="O1243" s="81">
        <f>IF(Data!M1243="CD",1,0)</f>
        <v>0</v>
      </c>
      <c r="P1243" s="81">
        <f>IF(Data!M1243="CD",0,1)</f>
        <v>1</v>
      </c>
      <c r="Q1243" s="81">
        <f>IF(Data!Q1243&gt;Data!P1243,DATEDIF(Data!P1243,Data!Q1243,"d"),0)</f>
        <v>0</v>
      </c>
      <c r="R1243" s="81">
        <f>IF(Data!R1243&gt;Data!Q1243,DATEDIF(Data!Q1243,Data!R1243,"d"),0)</f>
        <v>0</v>
      </c>
    </row>
    <row r="1244" spans="3:18" x14ac:dyDescent="0.2">
      <c r="C1244" s="80">
        <f t="shared" ca="1" si="40"/>
        <v>45959</v>
      </c>
      <c r="D1244" s="81">
        <f>IF(Data!I1244&lt;&gt;"",DATEDIF(Data!I1244,C1244,"m"),0)</f>
        <v>0</v>
      </c>
      <c r="E1244" s="82">
        <f t="shared" si="41"/>
        <v>0</v>
      </c>
      <c r="I1244" s="81" t="str">
        <f>CONCATENATE(Data!M1244,"-",Data!L1244)</f>
        <v>-</v>
      </c>
      <c r="N1244" s="81">
        <f>IF(Data!P1244,DATEDIF(Data!O1244,Data!P1244,"d"),0)</f>
        <v>0</v>
      </c>
      <c r="O1244" s="81">
        <f>IF(Data!M1244="CD",1,0)</f>
        <v>0</v>
      </c>
      <c r="P1244" s="81">
        <f>IF(Data!M1244="CD",0,1)</f>
        <v>1</v>
      </c>
      <c r="Q1244" s="81">
        <f>IF(Data!Q1244&gt;Data!P1244,DATEDIF(Data!P1244,Data!Q1244,"d"),0)</f>
        <v>0</v>
      </c>
      <c r="R1244" s="81">
        <f>IF(Data!R1244&gt;Data!Q1244,DATEDIF(Data!Q1244,Data!R1244,"d"),0)</f>
        <v>0</v>
      </c>
    </row>
    <row r="1245" spans="3:18" x14ac:dyDescent="0.2">
      <c r="C1245" s="80">
        <f t="shared" ca="1" si="40"/>
        <v>45959</v>
      </c>
      <c r="D1245" s="81">
        <f>IF(Data!I1245&lt;&gt;"",DATEDIF(Data!I1245,C1245,"m"),0)</f>
        <v>0</v>
      </c>
      <c r="E1245" s="82">
        <f t="shared" si="41"/>
        <v>0</v>
      </c>
      <c r="I1245" s="81" t="str">
        <f>CONCATENATE(Data!M1245,"-",Data!L1245)</f>
        <v>-</v>
      </c>
      <c r="N1245" s="81">
        <f>IF(Data!P1245,DATEDIF(Data!O1245,Data!P1245,"d"),0)</f>
        <v>0</v>
      </c>
      <c r="O1245" s="81">
        <f>IF(Data!M1245="CD",1,0)</f>
        <v>0</v>
      </c>
      <c r="P1245" s="81">
        <f>IF(Data!M1245="CD",0,1)</f>
        <v>1</v>
      </c>
      <c r="Q1245" s="81">
        <f>IF(Data!Q1245&gt;Data!P1245,DATEDIF(Data!P1245,Data!Q1245,"d"),0)</f>
        <v>0</v>
      </c>
      <c r="R1245" s="81">
        <f>IF(Data!R1245&gt;Data!Q1245,DATEDIF(Data!Q1245,Data!R1245,"d"),0)</f>
        <v>0</v>
      </c>
    </row>
    <row r="1246" spans="3:18" x14ac:dyDescent="0.2">
      <c r="C1246" s="80">
        <f t="shared" ca="1" si="40"/>
        <v>45959</v>
      </c>
      <c r="D1246" s="81">
        <f>IF(Data!I1246&lt;&gt;"",DATEDIF(Data!I1246,C1246,"m"),0)</f>
        <v>0</v>
      </c>
      <c r="E1246" s="82">
        <f t="shared" si="41"/>
        <v>0</v>
      </c>
      <c r="I1246" s="81" t="str">
        <f>CONCATENATE(Data!M1246,"-",Data!L1246)</f>
        <v>-</v>
      </c>
      <c r="N1246" s="81">
        <f>IF(Data!P1246,DATEDIF(Data!O1246,Data!P1246,"d"),0)</f>
        <v>0</v>
      </c>
      <c r="O1246" s="81">
        <f>IF(Data!M1246="CD",1,0)</f>
        <v>0</v>
      </c>
      <c r="P1246" s="81">
        <f>IF(Data!M1246="CD",0,1)</f>
        <v>1</v>
      </c>
      <c r="Q1246" s="81">
        <f>IF(Data!Q1246&gt;Data!P1246,DATEDIF(Data!P1246,Data!Q1246,"d"),0)</f>
        <v>0</v>
      </c>
      <c r="R1246" s="81">
        <f>IF(Data!R1246&gt;Data!Q1246,DATEDIF(Data!Q1246,Data!R1246,"d"),0)</f>
        <v>0</v>
      </c>
    </row>
    <row r="1247" spans="3:18" x14ac:dyDescent="0.2">
      <c r="C1247" s="80">
        <f t="shared" ca="1" si="40"/>
        <v>45959</v>
      </c>
      <c r="D1247" s="81">
        <f>IF(Data!I1247&lt;&gt;"",DATEDIF(Data!I1247,C1247,"m"),0)</f>
        <v>0</v>
      </c>
      <c r="E1247" s="82">
        <f t="shared" si="41"/>
        <v>0</v>
      </c>
      <c r="I1247" s="81" t="str">
        <f>CONCATENATE(Data!M1247,"-",Data!L1247)</f>
        <v>-</v>
      </c>
      <c r="N1247" s="81">
        <f>IF(Data!P1247,DATEDIF(Data!O1247,Data!P1247,"d"),0)</f>
        <v>0</v>
      </c>
      <c r="O1247" s="81">
        <f>IF(Data!M1247="CD",1,0)</f>
        <v>0</v>
      </c>
      <c r="P1247" s="81">
        <f>IF(Data!M1247="CD",0,1)</f>
        <v>1</v>
      </c>
      <c r="Q1247" s="81">
        <f>IF(Data!Q1247&gt;Data!P1247,DATEDIF(Data!P1247,Data!Q1247,"d"),0)</f>
        <v>0</v>
      </c>
      <c r="R1247" s="81">
        <f>IF(Data!R1247&gt;Data!Q1247,DATEDIF(Data!Q1247,Data!R1247,"d"),0)</f>
        <v>0</v>
      </c>
    </row>
    <row r="1248" spans="3:18" x14ac:dyDescent="0.2">
      <c r="C1248" s="80">
        <f t="shared" ca="1" si="40"/>
        <v>45959</v>
      </c>
      <c r="D1248" s="81">
        <f>IF(Data!I1248&lt;&gt;"",DATEDIF(Data!I1248,C1248,"m"),0)</f>
        <v>0</v>
      </c>
      <c r="E1248" s="82">
        <f t="shared" si="41"/>
        <v>0</v>
      </c>
      <c r="I1248" s="81" t="str">
        <f>CONCATENATE(Data!M1248,"-",Data!L1248)</f>
        <v>-</v>
      </c>
      <c r="N1248" s="81">
        <f>IF(Data!P1248,DATEDIF(Data!O1248,Data!P1248,"d"),0)</f>
        <v>0</v>
      </c>
      <c r="O1248" s="81">
        <f>IF(Data!M1248="CD",1,0)</f>
        <v>0</v>
      </c>
      <c r="P1248" s="81">
        <f>IF(Data!M1248="CD",0,1)</f>
        <v>1</v>
      </c>
      <c r="Q1248" s="81">
        <f>IF(Data!Q1248&gt;Data!P1248,DATEDIF(Data!P1248,Data!Q1248,"d"),0)</f>
        <v>0</v>
      </c>
      <c r="R1248" s="81">
        <f>IF(Data!R1248&gt;Data!Q1248,DATEDIF(Data!Q1248,Data!R1248,"d"),0)</f>
        <v>0</v>
      </c>
    </row>
    <row r="1249" spans="3:18" x14ac:dyDescent="0.2">
      <c r="C1249" s="80">
        <f t="shared" ca="1" si="40"/>
        <v>45959</v>
      </c>
      <c r="D1249" s="81">
        <f>IF(Data!I1249&lt;&gt;"",DATEDIF(Data!I1249,C1249,"m"),0)</f>
        <v>0</v>
      </c>
      <c r="E1249" s="82">
        <f t="shared" si="41"/>
        <v>0</v>
      </c>
      <c r="I1249" s="81" t="str">
        <f>CONCATENATE(Data!M1249,"-",Data!L1249)</f>
        <v>-</v>
      </c>
      <c r="N1249" s="81">
        <f>IF(Data!P1249,DATEDIF(Data!O1249,Data!P1249,"d"),0)</f>
        <v>0</v>
      </c>
      <c r="O1249" s="81">
        <f>IF(Data!M1249="CD",1,0)</f>
        <v>0</v>
      </c>
      <c r="P1249" s="81">
        <f>IF(Data!M1249="CD",0,1)</f>
        <v>1</v>
      </c>
      <c r="Q1249" s="81">
        <f>IF(Data!Q1249&gt;Data!P1249,DATEDIF(Data!P1249,Data!Q1249,"d"),0)</f>
        <v>0</v>
      </c>
      <c r="R1249" s="81">
        <f>IF(Data!R1249&gt;Data!Q1249,DATEDIF(Data!Q1249,Data!R1249,"d"),0)</f>
        <v>0</v>
      </c>
    </row>
    <row r="1250" spans="3:18" x14ac:dyDescent="0.2">
      <c r="C1250" s="80">
        <f t="shared" ca="1" si="40"/>
        <v>45959</v>
      </c>
      <c r="D1250" s="81">
        <f>IF(Data!I1250&lt;&gt;"",DATEDIF(Data!I1250,C1250,"m"),0)</f>
        <v>0</v>
      </c>
      <c r="E1250" s="82">
        <f t="shared" si="41"/>
        <v>0</v>
      </c>
      <c r="I1250" s="81" t="str">
        <f>CONCATENATE(Data!M1250,"-",Data!L1250)</f>
        <v>-</v>
      </c>
      <c r="N1250" s="81">
        <f>IF(Data!P1250,DATEDIF(Data!O1250,Data!P1250,"d"),0)</f>
        <v>0</v>
      </c>
      <c r="O1250" s="81">
        <f>IF(Data!M1250="CD",1,0)</f>
        <v>0</v>
      </c>
      <c r="P1250" s="81">
        <f>IF(Data!M1250="CD",0,1)</f>
        <v>1</v>
      </c>
      <c r="Q1250" s="81">
        <f>IF(Data!Q1250&gt;Data!P1250,DATEDIF(Data!P1250,Data!Q1250,"d"),0)</f>
        <v>0</v>
      </c>
      <c r="R1250" s="81">
        <f>IF(Data!R1250&gt;Data!Q1250,DATEDIF(Data!Q1250,Data!R1250,"d"),0)</f>
        <v>0</v>
      </c>
    </row>
    <row r="1251" spans="3:18" x14ac:dyDescent="0.2">
      <c r="C1251" s="80">
        <f t="shared" ca="1" si="40"/>
        <v>45959</v>
      </c>
      <c r="D1251" s="81">
        <f>IF(Data!I1251&lt;&gt;"",DATEDIF(Data!I1251,C1251,"m"),0)</f>
        <v>0</v>
      </c>
      <c r="E1251" s="82">
        <f t="shared" si="41"/>
        <v>0</v>
      </c>
      <c r="I1251" s="81" t="str">
        <f>CONCATENATE(Data!M1251,"-",Data!L1251)</f>
        <v>-</v>
      </c>
      <c r="N1251" s="81">
        <f>IF(Data!P1251,DATEDIF(Data!O1251,Data!P1251,"d"),0)</f>
        <v>0</v>
      </c>
      <c r="O1251" s="81">
        <f>IF(Data!M1251="CD",1,0)</f>
        <v>0</v>
      </c>
      <c r="P1251" s="81">
        <f>IF(Data!M1251="CD",0,1)</f>
        <v>1</v>
      </c>
      <c r="Q1251" s="81">
        <f>IF(Data!Q1251&gt;Data!P1251,DATEDIF(Data!P1251,Data!Q1251,"d"),0)</f>
        <v>0</v>
      </c>
      <c r="R1251" s="81">
        <f>IF(Data!R1251&gt;Data!Q1251,DATEDIF(Data!Q1251,Data!R1251,"d"),0)</f>
        <v>0</v>
      </c>
    </row>
    <row r="1252" spans="3:18" x14ac:dyDescent="0.2">
      <c r="C1252" s="80">
        <f t="shared" ca="1" si="40"/>
        <v>45959</v>
      </c>
      <c r="D1252" s="81">
        <f>IF(Data!I1252&lt;&gt;"",DATEDIF(Data!I1252,C1252,"m"),0)</f>
        <v>0</v>
      </c>
      <c r="E1252" s="82">
        <f t="shared" si="41"/>
        <v>0</v>
      </c>
      <c r="I1252" s="81" t="str">
        <f>CONCATENATE(Data!M1252,"-",Data!L1252)</f>
        <v>-</v>
      </c>
      <c r="N1252" s="81">
        <f>IF(Data!P1252,DATEDIF(Data!O1252,Data!P1252,"d"),0)</f>
        <v>0</v>
      </c>
      <c r="O1252" s="81">
        <f>IF(Data!M1252="CD",1,0)</f>
        <v>0</v>
      </c>
      <c r="P1252" s="81">
        <f>IF(Data!M1252="CD",0,1)</f>
        <v>1</v>
      </c>
      <c r="Q1252" s="81">
        <f>IF(Data!Q1252&gt;Data!P1252,DATEDIF(Data!P1252,Data!Q1252,"d"),0)</f>
        <v>0</v>
      </c>
      <c r="R1252" s="81">
        <f>IF(Data!R1252&gt;Data!Q1252,DATEDIF(Data!Q1252,Data!R1252,"d"),0)</f>
        <v>0</v>
      </c>
    </row>
    <row r="1253" spans="3:18" x14ac:dyDescent="0.2">
      <c r="C1253" s="80">
        <f t="shared" ca="1" si="40"/>
        <v>45959</v>
      </c>
      <c r="D1253" s="81">
        <f>IF(Data!I1253&lt;&gt;"",DATEDIF(Data!I1253,C1253,"m"),0)</f>
        <v>0</v>
      </c>
      <c r="E1253" s="82">
        <f t="shared" si="41"/>
        <v>0</v>
      </c>
      <c r="I1253" s="81" t="str">
        <f>CONCATENATE(Data!M1253,"-",Data!L1253)</f>
        <v>-</v>
      </c>
      <c r="N1253" s="81">
        <f>IF(Data!P1253,DATEDIF(Data!O1253,Data!P1253,"d"),0)</f>
        <v>0</v>
      </c>
      <c r="O1253" s="81">
        <f>IF(Data!M1253="CD",1,0)</f>
        <v>0</v>
      </c>
      <c r="P1253" s="81">
        <f>IF(Data!M1253="CD",0,1)</f>
        <v>1</v>
      </c>
      <c r="Q1253" s="81">
        <f>IF(Data!Q1253&gt;Data!P1253,DATEDIF(Data!P1253,Data!Q1253,"d"),0)</f>
        <v>0</v>
      </c>
      <c r="R1253" s="81">
        <f>IF(Data!R1253&gt;Data!Q1253,DATEDIF(Data!Q1253,Data!R1253,"d"),0)</f>
        <v>0</v>
      </c>
    </row>
    <row r="1254" spans="3:18" x14ac:dyDescent="0.2">
      <c r="C1254" s="80">
        <f t="shared" ca="1" si="40"/>
        <v>45959</v>
      </c>
      <c r="D1254" s="81">
        <f>IF(Data!I1254&lt;&gt;"",DATEDIF(Data!I1254,C1254,"m"),0)</f>
        <v>0</v>
      </c>
      <c r="E1254" s="82">
        <f t="shared" si="41"/>
        <v>0</v>
      </c>
      <c r="I1254" s="81" t="str">
        <f>CONCATENATE(Data!M1254,"-",Data!L1254)</f>
        <v>-</v>
      </c>
      <c r="N1254" s="81">
        <f>IF(Data!P1254,DATEDIF(Data!O1254,Data!P1254,"d"),0)</f>
        <v>0</v>
      </c>
      <c r="O1254" s="81">
        <f>IF(Data!M1254="CD",1,0)</f>
        <v>0</v>
      </c>
      <c r="P1254" s="81">
        <f>IF(Data!M1254="CD",0,1)</f>
        <v>1</v>
      </c>
      <c r="Q1254" s="81">
        <f>IF(Data!Q1254&gt;Data!P1254,DATEDIF(Data!P1254,Data!Q1254,"d"),0)</f>
        <v>0</v>
      </c>
      <c r="R1254" s="81">
        <f>IF(Data!R1254&gt;Data!Q1254,DATEDIF(Data!Q1254,Data!R1254,"d"),0)</f>
        <v>0</v>
      </c>
    </row>
    <row r="1255" spans="3:18" x14ac:dyDescent="0.2">
      <c r="C1255" s="80">
        <f t="shared" ca="1" si="40"/>
        <v>45959</v>
      </c>
      <c r="D1255" s="81">
        <f>IF(Data!I1255&lt;&gt;"",DATEDIF(Data!I1255,C1255,"m"),0)</f>
        <v>0</v>
      </c>
      <c r="E1255" s="82">
        <f t="shared" si="41"/>
        <v>0</v>
      </c>
      <c r="I1255" s="81" t="str">
        <f>CONCATENATE(Data!M1255,"-",Data!L1255)</f>
        <v>-</v>
      </c>
      <c r="N1255" s="81">
        <f>IF(Data!P1255,DATEDIF(Data!O1255,Data!P1255,"d"),0)</f>
        <v>0</v>
      </c>
      <c r="O1255" s="81">
        <f>IF(Data!M1255="CD",1,0)</f>
        <v>0</v>
      </c>
      <c r="P1255" s="81">
        <f>IF(Data!M1255="CD",0,1)</f>
        <v>1</v>
      </c>
      <c r="Q1255" s="81">
        <f>IF(Data!Q1255&gt;Data!P1255,DATEDIF(Data!P1255,Data!Q1255,"d"),0)</f>
        <v>0</v>
      </c>
      <c r="R1255" s="81">
        <f>IF(Data!R1255&gt;Data!Q1255,DATEDIF(Data!Q1255,Data!R1255,"d"),0)</f>
        <v>0</v>
      </c>
    </row>
    <row r="1256" spans="3:18" x14ac:dyDescent="0.2">
      <c r="C1256" s="80">
        <f t="shared" ca="1" si="40"/>
        <v>45959</v>
      </c>
      <c r="D1256" s="81">
        <f>IF(Data!I1256&lt;&gt;"",DATEDIF(Data!I1256,C1256,"m"),0)</f>
        <v>0</v>
      </c>
      <c r="E1256" s="82">
        <f t="shared" si="41"/>
        <v>0</v>
      </c>
      <c r="I1256" s="81" t="str">
        <f>CONCATENATE(Data!M1256,"-",Data!L1256)</f>
        <v>-</v>
      </c>
      <c r="N1256" s="81">
        <f>IF(Data!P1256,DATEDIF(Data!O1256,Data!P1256,"d"),0)</f>
        <v>0</v>
      </c>
      <c r="O1256" s="81">
        <f>IF(Data!M1256="CD",1,0)</f>
        <v>0</v>
      </c>
      <c r="P1256" s="81">
        <f>IF(Data!M1256="CD",0,1)</f>
        <v>1</v>
      </c>
      <c r="Q1256" s="81">
        <f>IF(Data!Q1256&gt;Data!P1256,DATEDIF(Data!P1256,Data!Q1256,"d"),0)</f>
        <v>0</v>
      </c>
      <c r="R1256" s="81">
        <f>IF(Data!R1256&gt;Data!Q1256,DATEDIF(Data!Q1256,Data!R1256,"d"),0)</f>
        <v>0</v>
      </c>
    </row>
    <row r="1257" spans="3:18" x14ac:dyDescent="0.2">
      <c r="C1257" s="80">
        <f t="shared" ca="1" si="40"/>
        <v>45959</v>
      </c>
      <c r="D1257" s="81">
        <f>IF(Data!I1257&lt;&gt;"",DATEDIF(Data!I1257,C1257,"m"),0)</f>
        <v>0</v>
      </c>
      <c r="E1257" s="82">
        <f t="shared" si="41"/>
        <v>0</v>
      </c>
      <c r="I1257" s="81" t="str">
        <f>CONCATENATE(Data!M1257,"-",Data!L1257)</f>
        <v>-</v>
      </c>
      <c r="N1257" s="81">
        <f>IF(Data!P1257,DATEDIF(Data!O1257,Data!P1257,"d"),0)</f>
        <v>0</v>
      </c>
      <c r="O1257" s="81">
        <f>IF(Data!M1257="CD",1,0)</f>
        <v>0</v>
      </c>
      <c r="P1257" s="81">
        <f>IF(Data!M1257="CD",0,1)</f>
        <v>1</v>
      </c>
      <c r="Q1257" s="81">
        <f>IF(Data!Q1257&gt;Data!P1257,DATEDIF(Data!P1257,Data!Q1257,"d"),0)</f>
        <v>0</v>
      </c>
      <c r="R1257" s="81">
        <f>IF(Data!R1257&gt;Data!Q1257,DATEDIF(Data!Q1257,Data!R1257,"d"),0)</f>
        <v>0</v>
      </c>
    </row>
    <row r="1258" spans="3:18" x14ac:dyDescent="0.2">
      <c r="C1258" s="80">
        <f t="shared" ca="1" si="40"/>
        <v>45959</v>
      </c>
      <c r="D1258" s="81">
        <f>IF(Data!I1258&lt;&gt;"",DATEDIF(Data!I1258,C1258,"m"),0)</f>
        <v>0</v>
      </c>
      <c r="E1258" s="82">
        <f t="shared" si="41"/>
        <v>0</v>
      </c>
      <c r="I1258" s="81" t="str">
        <f>CONCATENATE(Data!M1258,"-",Data!L1258)</f>
        <v>-</v>
      </c>
      <c r="N1258" s="81">
        <f>IF(Data!P1258,DATEDIF(Data!O1258,Data!P1258,"d"),0)</f>
        <v>0</v>
      </c>
      <c r="O1258" s="81">
        <f>IF(Data!M1258="CD",1,0)</f>
        <v>0</v>
      </c>
      <c r="P1258" s="81">
        <f>IF(Data!M1258="CD",0,1)</f>
        <v>1</v>
      </c>
      <c r="Q1258" s="81">
        <f>IF(Data!Q1258&gt;Data!P1258,DATEDIF(Data!P1258,Data!Q1258,"d"),0)</f>
        <v>0</v>
      </c>
      <c r="R1258" s="81">
        <f>IF(Data!R1258&gt;Data!Q1258,DATEDIF(Data!Q1258,Data!R1258,"d"),0)</f>
        <v>0</v>
      </c>
    </row>
    <row r="1259" spans="3:18" x14ac:dyDescent="0.2">
      <c r="C1259" s="80">
        <f t="shared" ca="1" si="40"/>
        <v>45959</v>
      </c>
      <c r="D1259" s="81">
        <f>IF(Data!I1259&lt;&gt;"",DATEDIF(Data!I1259,C1259,"m"),0)</f>
        <v>0</v>
      </c>
      <c r="E1259" s="82">
        <f t="shared" si="41"/>
        <v>0</v>
      </c>
      <c r="I1259" s="81" t="str">
        <f>CONCATENATE(Data!M1259,"-",Data!L1259)</f>
        <v>-</v>
      </c>
      <c r="N1259" s="81">
        <f>IF(Data!P1259,DATEDIF(Data!O1259,Data!P1259,"d"),0)</f>
        <v>0</v>
      </c>
      <c r="O1259" s="81">
        <f>IF(Data!M1259="CD",1,0)</f>
        <v>0</v>
      </c>
      <c r="P1259" s="81">
        <f>IF(Data!M1259="CD",0,1)</f>
        <v>1</v>
      </c>
      <c r="Q1259" s="81">
        <f>IF(Data!Q1259&gt;Data!P1259,DATEDIF(Data!P1259,Data!Q1259,"d"),0)</f>
        <v>0</v>
      </c>
      <c r="R1259" s="81">
        <f>IF(Data!R1259&gt;Data!Q1259,DATEDIF(Data!Q1259,Data!R1259,"d"),0)</f>
        <v>0</v>
      </c>
    </row>
    <row r="1260" spans="3:18" x14ac:dyDescent="0.2">
      <c r="C1260" s="80">
        <f t="shared" ca="1" si="40"/>
        <v>45959</v>
      </c>
      <c r="D1260" s="81">
        <f>IF(Data!I1260&lt;&gt;"",DATEDIF(Data!I1260,C1260,"m"),0)</f>
        <v>0</v>
      </c>
      <c r="E1260" s="82">
        <f t="shared" si="41"/>
        <v>0</v>
      </c>
      <c r="I1260" s="81" t="str">
        <f>CONCATENATE(Data!M1260,"-",Data!L1260)</f>
        <v>-</v>
      </c>
      <c r="N1260" s="81">
        <f>IF(Data!P1260,DATEDIF(Data!O1260,Data!P1260,"d"),0)</f>
        <v>0</v>
      </c>
      <c r="O1260" s="81">
        <f>IF(Data!M1260="CD",1,0)</f>
        <v>0</v>
      </c>
      <c r="P1260" s="81">
        <f>IF(Data!M1260="CD",0,1)</f>
        <v>1</v>
      </c>
      <c r="Q1260" s="81">
        <f>IF(Data!Q1260&gt;Data!P1260,DATEDIF(Data!P1260,Data!Q1260,"d"),0)</f>
        <v>0</v>
      </c>
      <c r="R1260" s="81">
        <f>IF(Data!R1260&gt;Data!Q1260,DATEDIF(Data!Q1260,Data!R1260,"d"),0)</f>
        <v>0</v>
      </c>
    </row>
    <row r="1261" spans="3:18" x14ac:dyDescent="0.2">
      <c r="C1261" s="80">
        <f t="shared" ca="1" si="40"/>
        <v>45959</v>
      </c>
      <c r="D1261" s="81">
        <f>IF(Data!I1261&lt;&gt;"",DATEDIF(Data!I1261,C1261,"m"),0)</f>
        <v>0</v>
      </c>
      <c r="E1261" s="82">
        <f t="shared" si="41"/>
        <v>0</v>
      </c>
      <c r="I1261" s="81" t="str">
        <f>CONCATENATE(Data!M1261,"-",Data!L1261)</f>
        <v>-</v>
      </c>
      <c r="N1261" s="81">
        <f>IF(Data!P1261,DATEDIF(Data!O1261,Data!P1261,"d"),0)</f>
        <v>0</v>
      </c>
      <c r="O1261" s="81">
        <f>IF(Data!M1261="CD",1,0)</f>
        <v>0</v>
      </c>
      <c r="P1261" s="81">
        <f>IF(Data!M1261="CD",0,1)</f>
        <v>1</v>
      </c>
      <c r="Q1261" s="81">
        <f>IF(Data!Q1261&gt;Data!P1261,DATEDIF(Data!P1261,Data!Q1261,"d"),0)</f>
        <v>0</v>
      </c>
      <c r="R1261" s="81">
        <f>IF(Data!R1261&gt;Data!Q1261,DATEDIF(Data!Q1261,Data!R1261,"d"),0)</f>
        <v>0</v>
      </c>
    </row>
    <row r="1262" spans="3:18" x14ac:dyDescent="0.2">
      <c r="C1262" s="80">
        <f t="shared" ca="1" si="40"/>
        <v>45959</v>
      </c>
      <c r="D1262" s="81">
        <f>IF(Data!I1262&lt;&gt;"",DATEDIF(Data!I1262,C1262,"m"),0)</f>
        <v>0</v>
      </c>
      <c r="E1262" s="82">
        <f t="shared" si="41"/>
        <v>0</v>
      </c>
      <c r="I1262" s="81" t="str">
        <f>CONCATENATE(Data!M1262,"-",Data!L1262)</f>
        <v>-</v>
      </c>
      <c r="N1262" s="81">
        <f>IF(Data!P1262,DATEDIF(Data!O1262,Data!P1262,"d"),0)</f>
        <v>0</v>
      </c>
      <c r="O1262" s="81">
        <f>IF(Data!M1262="CD",1,0)</f>
        <v>0</v>
      </c>
      <c r="P1262" s="81">
        <f>IF(Data!M1262="CD",0,1)</f>
        <v>1</v>
      </c>
      <c r="Q1262" s="81">
        <f>IF(Data!Q1262&gt;Data!P1262,DATEDIF(Data!P1262,Data!Q1262,"d"),0)</f>
        <v>0</v>
      </c>
      <c r="R1262" s="81">
        <f>IF(Data!R1262&gt;Data!Q1262,DATEDIF(Data!Q1262,Data!R1262,"d"),0)</f>
        <v>0</v>
      </c>
    </row>
    <row r="1263" spans="3:18" x14ac:dyDescent="0.2">
      <c r="C1263" s="80">
        <f t="shared" ca="1" si="40"/>
        <v>45959</v>
      </c>
      <c r="D1263" s="81">
        <f>IF(Data!I1263&lt;&gt;"",DATEDIF(Data!I1263,C1263,"m"),0)</f>
        <v>0</v>
      </c>
      <c r="E1263" s="82">
        <f t="shared" si="41"/>
        <v>0</v>
      </c>
      <c r="I1263" s="81" t="str">
        <f>CONCATENATE(Data!M1263,"-",Data!L1263)</f>
        <v>-</v>
      </c>
      <c r="N1263" s="81">
        <f>IF(Data!P1263,DATEDIF(Data!O1263,Data!P1263,"d"),0)</f>
        <v>0</v>
      </c>
      <c r="O1263" s="81">
        <f>IF(Data!M1263="CD",1,0)</f>
        <v>0</v>
      </c>
      <c r="P1263" s="81">
        <f>IF(Data!M1263="CD",0,1)</f>
        <v>1</v>
      </c>
      <c r="Q1263" s="81">
        <f>IF(Data!Q1263&gt;Data!P1263,DATEDIF(Data!P1263,Data!Q1263,"d"),0)</f>
        <v>0</v>
      </c>
      <c r="R1263" s="81">
        <f>IF(Data!R1263&gt;Data!Q1263,DATEDIF(Data!Q1263,Data!R1263,"d"),0)</f>
        <v>0</v>
      </c>
    </row>
    <row r="1264" spans="3:18" x14ac:dyDescent="0.2">
      <c r="C1264" s="80">
        <f t="shared" ca="1" si="40"/>
        <v>45959</v>
      </c>
      <c r="D1264" s="81">
        <f>IF(Data!I1264&lt;&gt;"",DATEDIF(Data!I1264,C1264,"m"),0)</f>
        <v>0</v>
      </c>
      <c r="E1264" s="82">
        <f t="shared" si="41"/>
        <v>0</v>
      </c>
      <c r="I1264" s="81" t="str">
        <f>CONCATENATE(Data!M1264,"-",Data!L1264)</f>
        <v>-</v>
      </c>
      <c r="N1264" s="81">
        <f>IF(Data!P1264,DATEDIF(Data!O1264,Data!P1264,"d"),0)</f>
        <v>0</v>
      </c>
      <c r="O1264" s="81">
        <f>IF(Data!M1264="CD",1,0)</f>
        <v>0</v>
      </c>
      <c r="P1264" s="81">
        <f>IF(Data!M1264="CD",0,1)</f>
        <v>1</v>
      </c>
      <c r="Q1264" s="81">
        <f>IF(Data!Q1264&gt;Data!P1264,DATEDIF(Data!P1264,Data!Q1264,"d"),0)</f>
        <v>0</v>
      </c>
      <c r="R1264" s="81">
        <f>IF(Data!R1264&gt;Data!Q1264,DATEDIF(Data!Q1264,Data!R1264,"d"),0)</f>
        <v>0</v>
      </c>
    </row>
    <row r="1265" spans="3:18" x14ac:dyDescent="0.2">
      <c r="C1265" s="80">
        <f t="shared" ca="1" si="40"/>
        <v>45959</v>
      </c>
      <c r="D1265" s="81">
        <f>IF(Data!I1265&lt;&gt;"",DATEDIF(Data!I1265,C1265,"m"),0)</f>
        <v>0</v>
      </c>
      <c r="E1265" s="82">
        <f t="shared" si="41"/>
        <v>0</v>
      </c>
      <c r="I1265" s="81" t="str">
        <f>CONCATENATE(Data!M1265,"-",Data!L1265)</f>
        <v>-</v>
      </c>
      <c r="N1265" s="81">
        <f>IF(Data!P1265,DATEDIF(Data!O1265,Data!P1265,"d"),0)</f>
        <v>0</v>
      </c>
      <c r="O1265" s="81">
        <f>IF(Data!M1265="CD",1,0)</f>
        <v>0</v>
      </c>
      <c r="P1265" s="81">
        <f>IF(Data!M1265="CD",0,1)</f>
        <v>1</v>
      </c>
      <c r="Q1265" s="81">
        <f>IF(Data!Q1265&gt;Data!P1265,DATEDIF(Data!P1265,Data!Q1265,"d"),0)</f>
        <v>0</v>
      </c>
      <c r="R1265" s="81">
        <f>IF(Data!R1265&gt;Data!Q1265,DATEDIF(Data!Q1265,Data!R1265,"d"),0)</f>
        <v>0</v>
      </c>
    </row>
    <row r="1266" spans="3:18" x14ac:dyDescent="0.2">
      <c r="C1266" s="80">
        <f t="shared" ca="1" si="40"/>
        <v>45959</v>
      </c>
      <c r="D1266" s="81">
        <f>IF(Data!I1266&lt;&gt;"",DATEDIF(Data!I1266,C1266,"m"),0)</f>
        <v>0</v>
      </c>
      <c r="E1266" s="82">
        <f t="shared" si="41"/>
        <v>0</v>
      </c>
      <c r="I1266" s="81" t="str">
        <f>CONCATENATE(Data!M1266,"-",Data!L1266)</f>
        <v>-</v>
      </c>
      <c r="N1266" s="81">
        <f>IF(Data!P1266,DATEDIF(Data!O1266,Data!P1266,"d"),0)</f>
        <v>0</v>
      </c>
      <c r="O1266" s="81">
        <f>IF(Data!M1266="CD",1,0)</f>
        <v>0</v>
      </c>
      <c r="P1266" s="81">
        <f>IF(Data!M1266="CD",0,1)</f>
        <v>1</v>
      </c>
      <c r="Q1266" s="81">
        <f>IF(Data!Q1266&gt;Data!P1266,DATEDIF(Data!P1266,Data!Q1266,"d"),0)</f>
        <v>0</v>
      </c>
      <c r="R1266" s="81">
        <f>IF(Data!R1266&gt;Data!Q1266,DATEDIF(Data!Q1266,Data!R1266,"d"),0)</f>
        <v>0</v>
      </c>
    </row>
    <row r="1267" spans="3:18" x14ac:dyDescent="0.2">
      <c r="C1267" s="80">
        <f t="shared" ca="1" si="40"/>
        <v>45959</v>
      </c>
      <c r="D1267" s="81">
        <f>IF(Data!I1267&lt;&gt;"",DATEDIF(Data!I1267,C1267,"m"),0)</f>
        <v>0</v>
      </c>
      <c r="E1267" s="82">
        <f t="shared" si="41"/>
        <v>0</v>
      </c>
      <c r="I1267" s="81" t="str">
        <f>CONCATENATE(Data!M1267,"-",Data!L1267)</f>
        <v>-</v>
      </c>
      <c r="N1267" s="81">
        <f>IF(Data!P1267,DATEDIF(Data!O1267,Data!P1267,"d"),0)</f>
        <v>0</v>
      </c>
      <c r="O1267" s="81">
        <f>IF(Data!M1267="CD",1,0)</f>
        <v>0</v>
      </c>
      <c r="P1267" s="81">
        <f>IF(Data!M1267="CD",0,1)</f>
        <v>1</v>
      </c>
      <c r="Q1267" s="81">
        <f>IF(Data!Q1267&gt;Data!P1267,DATEDIF(Data!P1267,Data!Q1267,"d"),0)</f>
        <v>0</v>
      </c>
      <c r="R1267" s="81">
        <f>IF(Data!R1267&gt;Data!Q1267,DATEDIF(Data!Q1267,Data!R1267,"d"),0)</f>
        <v>0</v>
      </c>
    </row>
    <row r="1268" spans="3:18" x14ac:dyDescent="0.2">
      <c r="C1268" s="80">
        <f t="shared" ca="1" si="40"/>
        <v>45959</v>
      </c>
      <c r="D1268" s="81">
        <f>IF(Data!I1268&lt;&gt;"",DATEDIF(Data!I1268,C1268,"m"),0)</f>
        <v>0</v>
      </c>
      <c r="E1268" s="82">
        <f t="shared" si="41"/>
        <v>0</v>
      </c>
      <c r="I1268" s="81" t="str">
        <f>CONCATENATE(Data!M1268,"-",Data!L1268)</f>
        <v>-</v>
      </c>
      <c r="N1268" s="81">
        <f>IF(Data!P1268,DATEDIF(Data!O1268,Data!P1268,"d"),0)</f>
        <v>0</v>
      </c>
      <c r="O1268" s="81">
        <f>IF(Data!M1268="CD",1,0)</f>
        <v>0</v>
      </c>
      <c r="P1268" s="81">
        <f>IF(Data!M1268="CD",0,1)</f>
        <v>1</v>
      </c>
      <c r="Q1268" s="81">
        <f>IF(Data!Q1268&gt;Data!P1268,DATEDIF(Data!P1268,Data!Q1268,"d"),0)</f>
        <v>0</v>
      </c>
      <c r="R1268" s="81">
        <f>IF(Data!R1268&gt;Data!Q1268,DATEDIF(Data!Q1268,Data!R1268,"d"),0)</f>
        <v>0</v>
      </c>
    </row>
    <row r="1269" spans="3:18" x14ac:dyDescent="0.2">
      <c r="C1269" s="80">
        <f t="shared" ca="1" si="40"/>
        <v>45959</v>
      </c>
      <c r="D1269" s="81">
        <f>IF(Data!I1269&lt;&gt;"",DATEDIF(Data!I1269,C1269,"m"),0)</f>
        <v>0</v>
      </c>
      <c r="E1269" s="82">
        <f t="shared" si="41"/>
        <v>0</v>
      </c>
      <c r="I1269" s="81" t="str">
        <f>CONCATENATE(Data!M1269,"-",Data!L1269)</f>
        <v>-</v>
      </c>
      <c r="N1269" s="81">
        <f>IF(Data!P1269,DATEDIF(Data!O1269,Data!P1269,"d"),0)</f>
        <v>0</v>
      </c>
      <c r="O1269" s="81">
        <f>IF(Data!M1269="CD",1,0)</f>
        <v>0</v>
      </c>
      <c r="P1269" s="81">
        <f>IF(Data!M1269="CD",0,1)</f>
        <v>1</v>
      </c>
      <c r="Q1269" s="81">
        <f>IF(Data!Q1269&gt;Data!P1269,DATEDIF(Data!P1269,Data!Q1269,"d"),0)</f>
        <v>0</v>
      </c>
      <c r="R1269" s="81">
        <f>IF(Data!R1269&gt;Data!Q1269,DATEDIF(Data!Q1269,Data!R1269,"d"),0)</f>
        <v>0</v>
      </c>
    </row>
    <row r="1270" spans="3:18" x14ac:dyDescent="0.2">
      <c r="C1270" s="80">
        <f t="shared" ca="1" si="40"/>
        <v>45959</v>
      </c>
      <c r="D1270" s="81">
        <f>IF(Data!I1270&lt;&gt;"",DATEDIF(Data!I1270,C1270,"m"),0)</f>
        <v>0</v>
      </c>
      <c r="E1270" s="82">
        <f t="shared" si="41"/>
        <v>0</v>
      </c>
      <c r="I1270" s="81" t="str">
        <f>CONCATENATE(Data!M1270,"-",Data!L1270)</f>
        <v>-</v>
      </c>
      <c r="N1270" s="81">
        <f>IF(Data!P1270,DATEDIF(Data!O1270,Data!P1270,"d"),0)</f>
        <v>0</v>
      </c>
      <c r="O1270" s="81">
        <f>IF(Data!M1270="CD",1,0)</f>
        <v>0</v>
      </c>
      <c r="P1270" s="81">
        <f>IF(Data!M1270="CD",0,1)</f>
        <v>1</v>
      </c>
      <c r="Q1270" s="81">
        <f>IF(Data!Q1270&gt;Data!P1270,DATEDIF(Data!P1270,Data!Q1270,"d"),0)</f>
        <v>0</v>
      </c>
      <c r="R1270" s="81">
        <f>IF(Data!R1270&gt;Data!Q1270,DATEDIF(Data!Q1270,Data!R1270,"d"),0)</f>
        <v>0</v>
      </c>
    </row>
    <row r="1271" spans="3:18" x14ac:dyDescent="0.2">
      <c r="C1271" s="80">
        <f t="shared" ca="1" si="40"/>
        <v>45959</v>
      </c>
      <c r="D1271" s="81">
        <f>IF(Data!I1271&lt;&gt;"",DATEDIF(Data!I1271,C1271,"m"),0)</f>
        <v>0</v>
      </c>
      <c r="E1271" s="82">
        <f t="shared" si="41"/>
        <v>0</v>
      </c>
      <c r="I1271" s="81" t="str">
        <f>CONCATENATE(Data!M1271,"-",Data!L1271)</f>
        <v>-</v>
      </c>
      <c r="N1271" s="81">
        <f>IF(Data!P1271,DATEDIF(Data!O1271,Data!P1271,"d"),0)</f>
        <v>0</v>
      </c>
      <c r="O1271" s="81">
        <f>IF(Data!M1271="CD",1,0)</f>
        <v>0</v>
      </c>
      <c r="P1271" s="81">
        <f>IF(Data!M1271="CD",0,1)</f>
        <v>1</v>
      </c>
      <c r="Q1271" s="81">
        <f>IF(Data!Q1271&gt;Data!P1271,DATEDIF(Data!P1271,Data!Q1271,"d"),0)</f>
        <v>0</v>
      </c>
      <c r="R1271" s="81">
        <f>IF(Data!R1271&gt;Data!Q1271,DATEDIF(Data!Q1271,Data!R1271,"d"),0)</f>
        <v>0</v>
      </c>
    </row>
    <row r="1272" spans="3:18" x14ac:dyDescent="0.2">
      <c r="C1272" s="80">
        <f t="shared" ca="1" si="40"/>
        <v>45959</v>
      </c>
      <c r="D1272" s="81">
        <f>IF(Data!I1272&lt;&gt;"",DATEDIF(Data!I1272,C1272,"m"),0)</f>
        <v>0</v>
      </c>
      <c r="E1272" s="82">
        <f t="shared" si="41"/>
        <v>0</v>
      </c>
      <c r="I1272" s="81" t="str">
        <f>CONCATENATE(Data!M1272,"-",Data!L1272)</f>
        <v>-</v>
      </c>
      <c r="N1272" s="81">
        <f>IF(Data!P1272,DATEDIF(Data!O1272,Data!P1272,"d"),0)</f>
        <v>0</v>
      </c>
      <c r="O1272" s="81">
        <f>IF(Data!M1272="CD",1,0)</f>
        <v>0</v>
      </c>
      <c r="P1272" s="81">
        <f>IF(Data!M1272="CD",0,1)</f>
        <v>1</v>
      </c>
      <c r="Q1272" s="81">
        <f>IF(Data!Q1272&gt;Data!P1272,DATEDIF(Data!P1272,Data!Q1272,"d"),0)</f>
        <v>0</v>
      </c>
      <c r="R1272" s="81">
        <f>IF(Data!R1272&gt;Data!Q1272,DATEDIF(Data!Q1272,Data!R1272,"d"),0)</f>
        <v>0</v>
      </c>
    </row>
    <row r="1273" spans="3:18" x14ac:dyDescent="0.2">
      <c r="C1273" s="80">
        <f t="shared" ca="1" si="40"/>
        <v>45959</v>
      </c>
      <c r="D1273" s="81">
        <f>IF(Data!I1273&lt;&gt;"",DATEDIF(Data!I1273,C1273,"m"),0)</f>
        <v>0</v>
      </c>
      <c r="E1273" s="82">
        <f t="shared" si="41"/>
        <v>0</v>
      </c>
      <c r="I1273" s="81" t="str">
        <f>CONCATENATE(Data!M1273,"-",Data!L1273)</f>
        <v>-</v>
      </c>
      <c r="N1273" s="81">
        <f>IF(Data!P1273,DATEDIF(Data!O1273,Data!P1273,"d"),0)</f>
        <v>0</v>
      </c>
      <c r="O1273" s="81">
        <f>IF(Data!M1273="CD",1,0)</f>
        <v>0</v>
      </c>
      <c r="P1273" s="81">
        <f>IF(Data!M1273="CD",0,1)</f>
        <v>1</v>
      </c>
      <c r="Q1273" s="81">
        <f>IF(Data!Q1273&gt;Data!P1273,DATEDIF(Data!P1273,Data!Q1273,"d"),0)</f>
        <v>0</v>
      </c>
      <c r="R1273" s="81">
        <f>IF(Data!R1273&gt;Data!Q1273,DATEDIF(Data!Q1273,Data!R1273,"d"),0)</f>
        <v>0</v>
      </c>
    </row>
    <row r="1274" spans="3:18" x14ac:dyDescent="0.2">
      <c r="C1274" s="80">
        <f t="shared" ca="1" si="40"/>
        <v>45959</v>
      </c>
      <c r="D1274" s="81">
        <f>IF(Data!I1274&lt;&gt;"",DATEDIF(Data!I1274,C1274,"m"),0)</f>
        <v>0</v>
      </c>
      <c r="E1274" s="82">
        <f t="shared" si="41"/>
        <v>0</v>
      </c>
      <c r="I1274" s="81" t="str">
        <f>CONCATENATE(Data!M1274,"-",Data!L1274)</f>
        <v>-</v>
      </c>
      <c r="N1274" s="81">
        <f>IF(Data!P1274,DATEDIF(Data!O1274,Data!P1274,"d"),0)</f>
        <v>0</v>
      </c>
      <c r="O1274" s="81">
        <f>IF(Data!M1274="CD",1,0)</f>
        <v>0</v>
      </c>
      <c r="P1274" s="81">
        <f>IF(Data!M1274="CD",0,1)</f>
        <v>1</v>
      </c>
      <c r="Q1274" s="81">
        <f>IF(Data!Q1274&gt;Data!P1274,DATEDIF(Data!P1274,Data!Q1274,"d"),0)</f>
        <v>0</v>
      </c>
      <c r="R1274" s="81">
        <f>IF(Data!R1274&gt;Data!Q1274,DATEDIF(Data!Q1274,Data!R1274,"d"),0)</f>
        <v>0</v>
      </c>
    </row>
    <row r="1275" spans="3:18" x14ac:dyDescent="0.2">
      <c r="C1275" s="80">
        <f t="shared" ca="1" si="40"/>
        <v>45959</v>
      </c>
      <c r="D1275" s="81">
        <f>IF(Data!I1275&lt;&gt;"",DATEDIF(Data!I1275,C1275,"m"),0)</f>
        <v>0</v>
      </c>
      <c r="E1275" s="82">
        <f t="shared" si="41"/>
        <v>0</v>
      </c>
      <c r="I1275" s="81" t="str">
        <f>CONCATENATE(Data!M1275,"-",Data!L1275)</f>
        <v>-</v>
      </c>
      <c r="N1275" s="81">
        <f>IF(Data!P1275,DATEDIF(Data!O1275,Data!P1275,"d"),0)</f>
        <v>0</v>
      </c>
      <c r="O1275" s="81">
        <f>IF(Data!M1275="CD",1,0)</f>
        <v>0</v>
      </c>
      <c r="P1275" s="81">
        <f>IF(Data!M1275="CD",0,1)</f>
        <v>1</v>
      </c>
      <c r="Q1275" s="81">
        <f>IF(Data!Q1275&gt;Data!P1275,DATEDIF(Data!P1275,Data!Q1275,"d"),0)</f>
        <v>0</v>
      </c>
      <c r="R1275" s="81">
        <f>IF(Data!R1275&gt;Data!Q1275,DATEDIF(Data!Q1275,Data!R1275,"d"),0)</f>
        <v>0</v>
      </c>
    </row>
    <row r="1276" spans="3:18" x14ac:dyDescent="0.2">
      <c r="C1276" s="80">
        <f t="shared" ca="1" si="40"/>
        <v>45959</v>
      </c>
      <c r="D1276" s="81">
        <f>IF(Data!I1276&lt;&gt;"",DATEDIF(Data!I1276,C1276,"m"),0)</f>
        <v>0</v>
      </c>
      <c r="E1276" s="82">
        <f t="shared" si="41"/>
        <v>0</v>
      </c>
      <c r="I1276" s="81" t="str">
        <f>CONCATENATE(Data!M1276,"-",Data!L1276)</f>
        <v>-</v>
      </c>
      <c r="N1276" s="81">
        <f>IF(Data!P1276,DATEDIF(Data!O1276,Data!P1276,"d"),0)</f>
        <v>0</v>
      </c>
      <c r="O1276" s="81">
        <f>IF(Data!M1276="CD",1,0)</f>
        <v>0</v>
      </c>
      <c r="P1276" s="81">
        <f>IF(Data!M1276="CD",0,1)</f>
        <v>1</v>
      </c>
      <c r="Q1276" s="81">
        <f>IF(Data!Q1276&gt;Data!P1276,DATEDIF(Data!P1276,Data!Q1276,"d"),0)</f>
        <v>0</v>
      </c>
      <c r="R1276" s="81">
        <f>IF(Data!R1276&gt;Data!Q1276,DATEDIF(Data!Q1276,Data!R1276,"d"),0)</f>
        <v>0</v>
      </c>
    </row>
    <row r="1277" spans="3:18" x14ac:dyDescent="0.2">
      <c r="C1277" s="80">
        <f t="shared" ca="1" si="40"/>
        <v>45959</v>
      </c>
      <c r="D1277" s="81">
        <f>IF(Data!I1277&lt;&gt;"",DATEDIF(Data!I1277,C1277,"m"),0)</f>
        <v>0</v>
      </c>
      <c r="E1277" s="82">
        <f t="shared" si="41"/>
        <v>0</v>
      </c>
      <c r="I1277" s="81" t="str">
        <f>CONCATENATE(Data!M1277,"-",Data!L1277)</f>
        <v>-</v>
      </c>
      <c r="N1277" s="81">
        <f>IF(Data!P1277,DATEDIF(Data!O1277,Data!P1277,"d"),0)</f>
        <v>0</v>
      </c>
      <c r="O1277" s="81">
        <f>IF(Data!M1277="CD",1,0)</f>
        <v>0</v>
      </c>
      <c r="P1277" s="81">
        <f>IF(Data!M1277="CD",0,1)</f>
        <v>1</v>
      </c>
      <c r="Q1277" s="81">
        <f>IF(Data!Q1277&gt;Data!P1277,DATEDIF(Data!P1277,Data!Q1277,"d"),0)</f>
        <v>0</v>
      </c>
      <c r="R1277" s="81">
        <f>IF(Data!R1277&gt;Data!Q1277,DATEDIF(Data!Q1277,Data!R1277,"d"),0)</f>
        <v>0</v>
      </c>
    </row>
    <row r="1278" spans="3:18" x14ac:dyDescent="0.2">
      <c r="C1278" s="80">
        <f t="shared" ca="1" si="40"/>
        <v>45959</v>
      </c>
      <c r="D1278" s="81">
        <f>IF(Data!I1278&lt;&gt;"",DATEDIF(Data!I1278,C1278,"m"),0)</f>
        <v>0</v>
      </c>
      <c r="E1278" s="82">
        <f t="shared" si="41"/>
        <v>0</v>
      </c>
      <c r="I1278" s="81" t="str">
        <f>CONCATENATE(Data!M1278,"-",Data!L1278)</f>
        <v>-</v>
      </c>
      <c r="N1278" s="81">
        <f>IF(Data!P1278,DATEDIF(Data!O1278,Data!P1278,"d"),0)</f>
        <v>0</v>
      </c>
      <c r="O1278" s="81">
        <f>IF(Data!M1278="CD",1,0)</f>
        <v>0</v>
      </c>
      <c r="P1278" s="81">
        <f>IF(Data!M1278="CD",0,1)</f>
        <v>1</v>
      </c>
      <c r="Q1278" s="81">
        <f>IF(Data!Q1278&gt;Data!P1278,DATEDIF(Data!P1278,Data!Q1278,"d"),0)</f>
        <v>0</v>
      </c>
      <c r="R1278" s="81">
        <f>IF(Data!R1278&gt;Data!Q1278,DATEDIF(Data!Q1278,Data!R1278,"d"),0)</f>
        <v>0</v>
      </c>
    </row>
    <row r="1279" spans="3:18" x14ac:dyDescent="0.2">
      <c r="C1279" s="80">
        <f t="shared" ca="1" si="40"/>
        <v>45959</v>
      </c>
      <c r="D1279" s="81">
        <f>IF(Data!I1279&lt;&gt;"",DATEDIF(Data!I1279,C1279,"m"),0)</f>
        <v>0</v>
      </c>
      <c r="E1279" s="82">
        <f t="shared" si="41"/>
        <v>0</v>
      </c>
      <c r="I1279" s="81" t="str">
        <f>CONCATENATE(Data!M1279,"-",Data!L1279)</f>
        <v>-</v>
      </c>
      <c r="N1279" s="81">
        <f>IF(Data!P1279,DATEDIF(Data!O1279,Data!P1279,"d"),0)</f>
        <v>0</v>
      </c>
      <c r="O1279" s="81">
        <f>IF(Data!M1279="CD",1,0)</f>
        <v>0</v>
      </c>
      <c r="P1279" s="81">
        <f>IF(Data!M1279="CD",0,1)</f>
        <v>1</v>
      </c>
      <c r="Q1279" s="81">
        <f>IF(Data!Q1279&gt;Data!P1279,DATEDIF(Data!P1279,Data!Q1279,"d"),0)</f>
        <v>0</v>
      </c>
      <c r="R1279" s="81">
        <f>IF(Data!R1279&gt;Data!Q1279,DATEDIF(Data!Q1279,Data!R1279,"d"),0)</f>
        <v>0</v>
      </c>
    </row>
    <row r="1280" spans="3:18" x14ac:dyDescent="0.2">
      <c r="C1280" s="80">
        <f t="shared" ca="1" si="40"/>
        <v>45959</v>
      </c>
      <c r="D1280" s="81">
        <f>IF(Data!I1280&lt;&gt;"",DATEDIF(Data!I1280,C1280,"m"),0)</f>
        <v>0</v>
      </c>
      <c r="E1280" s="82">
        <f t="shared" si="41"/>
        <v>0</v>
      </c>
      <c r="I1280" s="81" t="str">
        <f>CONCATENATE(Data!M1280,"-",Data!L1280)</f>
        <v>-</v>
      </c>
      <c r="N1280" s="81">
        <f>IF(Data!P1280,DATEDIF(Data!O1280,Data!P1280,"d"),0)</f>
        <v>0</v>
      </c>
      <c r="O1280" s="81">
        <f>IF(Data!M1280="CD",1,0)</f>
        <v>0</v>
      </c>
      <c r="P1280" s="81">
        <f>IF(Data!M1280="CD",0,1)</f>
        <v>1</v>
      </c>
      <c r="Q1280" s="81">
        <f>IF(Data!Q1280&gt;Data!P1280,DATEDIF(Data!P1280,Data!Q1280,"d"),0)</f>
        <v>0</v>
      </c>
      <c r="R1280" s="81">
        <f>IF(Data!R1280&gt;Data!Q1280,DATEDIF(Data!Q1280,Data!R1280,"d"),0)</f>
        <v>0</v>
      </c>
    </row>
    <row r="1281" spans="3:18" x14ac:dyDescent="0.2">
      <c r="C1281" s="80">
        <f t="shared" ca="1" si="40"/>
        <v>45959</v>
      </c>
      <c r="D1281" s="81">
        <f>IF(Data!I1281&lt;&gt;"",DATEDIF(Data!I1281,C1281,"m"),0)</f>
        <v>0</v>
      </c>
      <c r="E1281" s="82">
        <f t="shared" si="41"/>
        <v>0</v>
      </c>
      <c r="I1281" s="81" t="str">
        <f>CONCATENATE(Data!M1281,"-",Data!L1281)</f>
        <v>-</v>
      </c>
      <c r="N1281" s="81">
        <f>IF(Data!P1281,DATEDIF(Data!O1281,Data!P1281,"d"),0)</f>
        <v>0</v>
      </c>
      <c r="O1281" s="81">
        <f>IF(Data!M1281="CD",1,0)</f>
        <v>0</v>
      </c>
      <c r="P1281" s="81">
        <f>IF(Data!M1281="CD",0,1)</f>
        <v>1</v>
      </c>
      <c r="Q1281" s="81">
        <f>IF(Data!Q1281&gt;Data!P1281,DATEDIF(Data!P1281,Data!Q1281,"d"),0)</f>
        <v>0</v>
      </c>
      <c r="R1281" s="81">
        <f>IF(Data!R1281&gt;Data!Q1281,DATEDIF(Data!Q1281,Data!R1281,"d"),0)</f>
        <v>0</v>
      </c>
    </row>
    <row r="1282" spans="3:18" x14ac:dyDescent="0.2">
      <c r="C1282" s="80">
        <f t="shared" ref="C1282:C1345" ca="1" si="42">TODAY()</f>
        <v>45959</v>
      </c>
      <c r="D1282" s="81">
        <f>IF(Data!I1282&lt;&gt;"",DATEDIF(Data!I1282,C1282,"m"),0)</f>
        <v>0</v>
      </c>
      <c r="E1282" s="82">
        <f t="shared" si="41"/>
        <v>0</v>
      </c>
      <c r="I1282" s="81" t="str">
        <f>CONCATENATE(Data!M1282,"-",Data!L1282)</f>
        <v>-</v>
      </c>
      <c r="N1282" s="81">
        <f>IF(Data!P1282,DATEDIF(Data!O1282,Data!P1282,"d"),0)</f>
        <v>0</v>
      </c>
      <c r="O1282" s="81">
        <f>IF(Data!M1282="CD",1,0)</f>
        <v>0</v>
      </c>
      <c r="P1282" s="81">
        <f>IF(Data!M1282="CD",0,1)</f>
        <v>1</v>
      </c>
      <c r="Q1282" s="81">
        <f>IF(Data!Q1282&gt;Data!P1282,DATEDIF(Data!P1282,Data!Q1282,"d"),0)</f>
        <v>0</v>
      </c>
      <c r="R1282" s="81">
        <f>IF(Data!R1282&gt;Data!Q1282,DATEDIF(Data!Q1282,Data!R1282,"d"),0)</f>
        <v>0</v>
      </c>
    </row>
    <row r="1283" spans="3:18" x14ac:dyDescent="0.2">
      <c r="C1283" s="80">
        <f t="shared" ca="1" si="42"/>
        <v>45959</v>
      </c>
      <c r="D1283" s="81">
        <f>IF(Data!I1283&lt;&gt;"",DATEDIF(Data!I1283,C1283,"m"),0)</f>
        <v>0</v>
      </c>
      <c r="E1283" s="82">
        <f t="shared" ref="E1283:E1318" si="43">D1283/12</f>
        <v>0</v>
      </c>
      <c r="I1283" s="81" t="str">
        <f>CONCATENATE(Data!M1283,"-",Data!L1283)</f>
        <v>-</v>
      </c>
      <c r="N1283" s="81">
        <f>IF(Data!P1283,DATEDIF(Data!O1283,Data!P1283,"d"),0)</f>
        <v>0</v>
      </c>
      <c r="O1283" s="81">
        <f>IF(Data!M1283="CD",1,0)</f>
        <v>0</v>
      </c>
      <c r="P1283" s="81">
        <f>IF(Data!M1283="CD",0,1)</f>
        <v>1</v>
      </c>
      <c r="Q1283" s="81">
        <f>IF(Data!Q1283&gt;Data!P1283,DATEDIF(Data!P1283,Data!Q1283,"d"),0)</f>
        <v>0</v>
      </c>
      <c r="R1283" s="81">
        <f>IF(Data!R1283&gt;Data!Q1283,DATEDIF(Data!Q1283,Data!R1283,"d"),0)</f>
        <v>0</v>
      </c>
    </row>
    <row r="1284" spans="3:18" x14ac:dyDescent="0.2">
      <c r="C1284" s="80">
        <f t="shared" ca="1" si="42"/>
        <v>45959</v>
      </c>
      <c r="D1284" s="81">
        <f>IF(Data!I1284&lt;&gt;"",DATEDIF(Data!I1284,C1284,"m"),0)</f>
        <v>0</v>
      </c>
      <c r="E1284" s="82">
        <f t="shared" si="43"/>
        <v>0</v>
      </c>
      <c r="I1284" s="81" t="str">
        <f>CONCATENATE(Data!M1284,"-",Data!L1284)</f>
        <v>-</v>
      </c>
      <c r="N1284" s="81">
        <f>IF(Data!P1284,DATEDIF(Data!O1284,Data!P1284,"d"),0)</f>
        <v>0</v>
      </c>
      <c r="O1284" s="81">
        <f>IF(Data!M1284="CD",1,0)</f>
        <v>0</v>
      </c>
      <c r="P1284" s="81">
        <f>IF(Data!M1284="CD",0,1)</f>
        <v>1</v>
      </c>
      <c r="Q1284" s="81">
        <f>IF(Data!Q1284&gt;Data!P1284,DATEDIF(Data!P1284,Data!Q1284,"d"),0)</f>
        <v>0</v>
      </c>
      <c r="R1284" s="81">
        <f>IF(Data!R1284&gt;Data!Q1284,DATEDIF(Data!Q1284,Data!R1284,"d"),0)</f>
        <v>0</v>
      </c>
    </row>
    <row r="1285" spans="3:18" x14ac:dyDescent="0.2">
      <c r="C1285" s="80">
        <f t="shared" ca="1" si="42"/>
        <v>45959</v>
      </c>
      <c r="D1285" s="81">
        <f>IF(Data!I1285&lt;&gt;"",DATEDIF(Data!I1285,C1285,"m"),0)</f>
        <v>0</v>
      </c>
      <c r="E1285" s="82">
        <f t="shared" si="43"/>
        <v>0</v>
      </c>
      <c r="I1285" s="81" t="str">
        <f>CONCATENATE(Data!M1285,"-",Data!L1285)</f>
        <v>-</v>
      </c>
      <c r="N1285" s="81">
        <f>IF(Data!P1285,DATEDIF(Data!O1285,Data!P1285,"d"),0)</f>
        <v>0</v>
      </c>
      <c r="O1285" s="81">
        <f>IF(Data!M1285="CD",1,0)</f>
        <v>0</v>
      </c>
      <c r="P1285" s="81">
        <f>IF(Data!M1285="CD",0,1)</f>
        <v>1</v>
      </c>
      <c r="Q1285" s="81">
        <f>IF(Data!Q1285&gt;Data!P1285,DATEDIF(Data!P1285,Data!Q1285,"d"),0)</f>
        <v>0</v>
      </c>
      <c r="R1285" s="81">
        <f>IF(Data!R1285&gt;Data!Q1285,DATEDIF(Data!Q1285,Data!R1285,"d"),0)</f>
        <v>0</v>
      </c>
    </row>
    <row r="1286" spans="3:18" x14ac:dyDescent="0.2">
      <c r="C1286" s="80">
        <f t="shared" ca="1" si="42"/>
        <v>45959</v>
      </c>
      <c r="D1286" s="81">
        <f>IF(Data!I1286&lt;&gt;"",DATEDIF(Data!I1286,C1286,"m"),0)</f>
        <v>0</v>
      </c>
      <c r="E1286" s="82">
        <f t="shared" si="43"/>
        <v>0</v>
      </c>
      <c r="I1286" s="81" t="str">
        <f>CONCATENATE(Data!M1286,"-",Data!L1286)</f>
        <v>-</v>
      </c>
      <c r="N1286" s="81">
        <f>IF(Data!P1286,DATEDIF(Data!O1286,Data!P1286,"d"),0)</f>
        <v>0</v>
      </c>
      <c r="O1286" s="81">
        <f>IF(Data!M1286="CD",1,0)</f>
        <v>0</v>
      </c>
      <c r="P1286" s="81">
        <f>IF(Data!M1286="CD",0,1)</f>
        <v>1</v>
      </c>
      <c r="Q1286" s="81">
        <f>IF(Data!Q1286&gt;Data!P1286,DATEDIF(Data!P1286,Data!Q1286,"d"),0)</f>
        <v>0</v>
      </c>
      <c r="R1286" s="81">
        <f>IF(Data!R1286&gt;Data!Q1286,DATEDIF(Data!Q1286,Data!R1286,"d"),0)</f>
        <v>0</v>
      </c>
    </row>
    <row r="1287" spans="3:18" x14ac:dyDescent="0.2">
      <c r="C1287" s="80">
        <f t="shared" ca="1" si="42"/>
        <v>45959</v>
      </c>
      <c r="D1287" s="81">
        <f>IF(Data!I1287&lt;&gt;"",DATEDIF(Data!I1287,C1287,"m"),0)</f>
        <v>0</v>
      </c>
      <c r="E1287" s="82">
        <f t="shared" si="43"/>
        <v>0</v>
      </c>
      <c r="I1287" s="81" t="str">
        <f>CONCATENATE(Data!M1287,"-",Data!L1287)</f>
        <v>-</v>
      </c>
      <c r="N1287" s="81">
        <f>IF(Data!P1287,DATEDIF(Data!O1287,Data!P1287,"d"),0)</f>
        <v>0</v>
      </c>
      <c r="O1287" s="81">
        <f>IF(Data!M1287="CD",1,0)</f>
        <v>0</v>
      </c>
      <c r="P1287" s="81">
        <f>IF(Data!M1287="CD",0,1)</f>
        <v>1</v>
      </c>
      <c r="Q1287" s="81">
        <f>IF(Data!Q1287&gt;Data!P1287,DATEDIF(Data!P1287,Data!Q1287,"d"),0)</f>
        <v>0</v>
      </c>
      <c r="R1287" s="81">
        <f>IF(Data!R1287&gt;Data!Q1287,DATEDIF(Data!Q1287,Data!R1287,"d"),0)</f>
        <v>0</v>
      </c>
    </row>
    <row r="1288" spans="3:18" x14ac:dyDescent="0.2">
      <c r="C1288" s="80">
        <f t="shared" ca="1" si="42"/>
        <v>45959</v>
      </c>
      <c r="D1288" s="81">
        <f>IF(Data!I1288&lt;&gt;"",DATEDIF(Data!I1288,C1288,"m"),0)</f>
        <v>0</v>
      </c>
      <c r="E1288" s="82">
        <f t="shared" si="43"/>
        <v>0</v>
      </c>
      <c r="I1288" s="81" t="str">
        <f>CONCATENATE(Data!M1288,"-",Data!L1288)</f>
        <v>-</v>
      </c>
      <c r="N1288" s="81">
        <f>IF(Data!P1288,DATEDIF(Data!O1288,Data!P1288,"d"),0)</f>
        <v>0</v>
      </c>
      <c r="O1288" s="81">
        <f>IF(Data!M1288="CD",1,0)</f>
        <v>0</v>
      </c>
      <c r="P1288" s="81">
        <f>IF(Data!M1288="CD",0,1)</f>
        <v>1</v>
      </c>
      <c r="Q1288" s="81">
        <f>IF(Data!Q1288&gt;Data!P1288,DATEDIF(Data!P1288,Data!Q1288,"d"),0)</f>
        <v>0</v>
      </c>
      <c r="R1288" s="81">
        <f>IF(Data!R1288&gt;Data!Q1288,DATEDIF(Data!Q1288,Data!R1288,"d"),0)</f>
        <v>0</v>
      </c>
    </row>
    <row r="1289" spans="3:18" x14ac:dyDescent="0.2">
      <c r="C1289" s="80">
        <f t="shared" ca="1" si="42"/>
        <v>45959</v>
      </c>
      <c r="D1289" s="81">
        <f>IF(Data!I1289&lt;&gt;"",DATEDIF(Data!I1289,C1289,"m"),0)</f>
        <v>0</v>
      </c>
      <c r="E1289" s="82">
        <f t="shared" si="43"/>
        <v>0</v>
      </c>
      <c r="I1289" s="81" t="str">
        <f>CONCATENATE(Data!M1289,"-",Data!L1289)</f>
        <v>-</v>
      </c>
      <c r="N1289" s="81">
        <f>IF(Data!P1289,DATEDIF(Data!O1289,Data!P1289,"d"),0)</f>
        <v>0</v>
      </c>
      <c r="O1289" s="81">
        <f>IF(Data!M1289="CD",1,0)</f>
        <v>0</v>
      </c>
      <c r="P1289" s="81">
        <f>IF(Data!M1289="CD",0,1)</f>
        <v>1</v>
      </c>
      <c r="Q1289" s="81">
        <f>IF(Data!Q1289&gt;Data!P1289,DATEDIF(Data!P1289,Data!Q1289,"d"),0)</f>
        <v>0</v>
      </c>
      <c r="R1289" s="81">
        <f>IF(Data!R1289&gt;Data!Q1289,DATEDIF(Data!Q1289,Data!R1289,"d"),0)</f>
        <v>0</v>
      </c>
    </row>
    <row r="1290" spans="3:18" x14ac:dyDescent="0.2">
      <c r="C1290" s="80">
        <f t="shared" ca="1" si="42"/>
        <v>45959</v>
      </c>
      <c r="D1290" s="81">
        <f>IF(Data!I1290&lt;&gt;"",DATEDIF(Data!I1290,C1290,"m"),0)</f>
        <v>0</v>
      </c>
      <c r="E1290" s="82">
        <f t="shared" si="43"/>
        <v>0</v>
      </c>
      <c r="I1290" s="81" t="str">
        <f>CONCATENATE(Data!M1290,"-",Data!L1290)</f>
        <v>-</v>
      </c>
      <c r="N1290" s="81">
        <f>IF(Data!P1290,DATEDIF(Data!O1290,Data!P1290,"d"),0)</f>
        <v>0</v>
      </c>
      <c r="O1290" s="81">
        <f>IF(Data!M1290="CD",1,0)</f>
        <v>0</v>
      </c>
      <c r="P1290" s="81">
        <f>IF(Data!M1290="CD",0,1)</f>
        <v>1</v>
      </c>
      <c r="Q1290" s="81">
        <f>IF(Data!Q1290&gt;Data!P1290,DATEDIF(Data!P1290,Data!Q1290,"d"),0)</f>
        <v>0</v>
      </c>
      <c r="R1290" s="81">
        <f>IF(Data!R1290&gt;Data!Q1290,DATEDIF(Data!Q1290,Data!R1290,"d"),0)</f>
        <v>0</v>
      </c>
    </row>
    <row r="1291" spans="3:18" x14ac:dyDescent="0.2">
      <c r="C1291" s="80">
        <f t="shared" ca="1" si="42"/>
        <v>45959</v>
      </c>
      <c r="D1291" s="81">
        <f>IF(Data!I1291&lt;&gt;"",DATEDIF(Data!I1291,C1291,"m"),0)</f>
        <v>0</v>
      </c>
      <c r="E1291" s="82">
        <f t="shared" si="43"/>
        <v>0</v>
      </c>
      <c r="I1291" s="81" t="str">
        <f>CONCATENATE(Data!M1291,"-",Data!L1291)</f>
        <v>-</v>
      </c>
      <c r="N1291" s="81">
        <f>IF(Data!P1291,DATEDIF(Data!O1291,Data!P1291,"d"),0)</f>
        <v>0</v>
      </c>
      <c r="O1291" s="81">
        <f>IF(Data!M1291="CD",1,0)</f>
        <v>0</v>
      </c>
      <c r="P1291" s="81">
        <f>IF(Data!M1291="CD",0,1)</f>
        <v>1</v>
      </c>
      <c r="Q1291" s="81">
        <f>IF(Data!Q1291&gt;Data!P1291,DATEDIF(Data!P1291,Data!Q1291,"d"),0)</f>
        <v>0</v>
      </c>
      <c r="R1291" s="81">
        <f>IF(Data!R1291&gt;Data!Q1291,DATEDIF(Data!Q1291,Data!R1291,"d"),0)</f>
        <v>0</v>
      </c>
    </row>
    <row r="1292" spans="3:18" x14ac:dyDescent="0.2">
      <c r="C1292" s="80">
        <f t="shared" ca="1" si="42"/>
        <v>45959</v>
      </c>
      <c r="D1292" s="81">
        <f>IF(Data!I1292&lt;&gt;"",DATEDIF(Data!I1292,C1292,"m"),0)</f>
        <v>0</v>
      </c>
      <c r="E1292" s="82">
        <f t="shared" si="43"/>
        <v>0</v>
      </c>
      <c r="I1292" s="81" t="str">
        <f>CONCATENATE(Data!M1292,"-",Data!L1292)</f>
        <v>-</v>
      </c>
      <c r="N1292" s="81">
        <f>IF(Data!P1292,DATEDIF(Data!O1292,Data!P1292,"d"),0)</f>
        <v>0</v>
      </c>
      <c r="O1292" s="81">
        <f>IF(Data!M1292="CD",1,0)</f>
        <v>0</v>
      </c>
      <c r="P1292" s="81">
        <f>IF(Data!M1292="CD",0,1)</f>
        <v>1</v>
      </c>
      <c r="Q1292" s="81">
        <f>IF(Data!Q1292&gt;Data!P1292,DATEDIF(Data!P1292,Data!Q1292,"d"),0)</f>
        <v>0</v>
      </c>
      <c r="R1292" s="81">
        <f>IF(Data!R1292&gt;Data!Q1292,DATEDIF(Data!Q1292,Data!R1292,"d"),0)</f>
        <v>0</v>
      </c>
    </row>
    <row r="1293" spans="3:18" x14ac:dyDescent="0.2">
      <c r="C1293" s="80">
        <f t="shared" ca="1" si="42"/>
        <v>45959</v>
      </c>
      <c r="D1293" s="81">
        <f>IF(Data!I1293&lt;&gt;"",DATEDIF(Data!I1293,C1293,"m"),0)</f>
        <v>0</v>
      </c>
      <c r="E1293" s="82">
        <f t="shared" si="43"/>
        <v>0</v>
      </c>
      <c r="I1293" s="81" t="str">
        <f>CONCATENATE(Data!M1293,"-",Data!L1293)</f>
        <v>-</v>
      </c>
      <c r="N1293" s="81">
        <f>IF(Data!P1293,DATEDIF(Data!O1293,Data!P1293,"d"),0)</f>
        <v>0</v>
      </c>
      <c r="O1293" s="81">
        <f>IF(Data!M1293="CD",1,0)</f>
        <v>0</v>
      </c>
      <c r="P1293" s="81">
        <f>IF(Data!M1293="CD",0,1)</f>
        <v>1</v>
      </c>
      <c r="Q1293" s="81">
        <f>IF(Data!Q1293&gt;Data!P1293,DATEDIF(Data!P1293,Data!Q1293,"d"),0)</f>
        <v>0</v>
      </c>
      <c r="R1293" s="81">
        <f>IF(Data!R1293&gt;Data!Q1293,DATEDIF(Data!Q1293,Data!R1293,"d"),0)</f>
        <v>0</v>
      </c>
    </row>
    <row r="1294" spans="3:18" x14ac:dyDescent="0.2">
      <c r="C1294" s="80">
        <f t="shared" ca="1" si="42"/>
        <v>45959</v>
      </c>
      <c r="D1294" s="81">
        <f>IF(Data!I1294&lt;&gt;"",DATEDIF(Data!I1294,C1294,"m"),0)</f>
        <v>0</v>
      </c>
      <c r="E1294" s="82">
        <f t="shared" si="43"/>
        <v>0</v>
      </c>
      <c r="I1294" s="81" t="str">
        <f>CONCATENATE(Data!M1294,"-",Data!L1294)</f>
        <v>-</v>
      </c>
      <c r="N1294" s="81">
        <f>IF(Data!P1294,DATEDIF(Data!O1294,Data!P1294,"d"),0)</f>
        <v>0</v>
      </c>
      <c r="O1294" s="81">
        <f>IF(Data!M1294="CD",1,0)</f>
        <v>0</v>
      </c>
      <c r="P1294" s="81">
        <f>IF(Data!M1294="CD",0,1)</f>
        <v>1</v>
      </c>
      <c r="Q1294" s="81">
        <f>IF(Data!Q1294&gt;Data!P1294,DATEDIF(Data!P1294,Data!Q1294,"d"),0)</f>
        <v>0</v>
      </c>
      <c r="R1294" s="81">
        <f>IF(Data!R1294&gt;Data!Q1294,DATEDIF(Data!Q1294,Data!R1294,"d"),0)</f>
        <v>0</v>
      </c>
    </row>
    <row r="1295" spans="3:18" x14ac:dyDescent="0.2">
      <c r="C1295" s="80">
        <f t="shared" ca="1" si="42"/>
        <v>45959</v>
      </c>
      <c r="D1295" s="81">
        <f>IF(Data!I1295&lt;&gt;"",DATEDIF(Data!I1295,C1295,"m"),0)</f>
        <v>0</v>
      </c>
      <c r="E1295" s="82">
        <f t="shared" si="43"/>
        <v>0</v>
      </c>
      <c r="I1295" s="81" t="str">
        <f>CONCATENATE(Data!M1295,"-",Data!L1295)</f>
        <v>-</v>
      </c>
      <c r="N1295" s="81">
        <f>IF(Data!P1295,DATEDIF(Data!O1295,Data!P1295,"d"),0)</f>
        <v>0</v>
      </c>
      <c r="O1295" s="81">
        <f>IF(Data!M1295="CD",1,0)</f>
        <v>0</v>
      </c>
      <c r="P1295" s="81">
        <f>IF(Data!M1295="CD",0,1)</f>
        <v>1</v>
      </c>
      <c r="Q1295" s="81">
        <f>IF(Data!Q1295&gt;Data!P1295,DATEDIF(Data!P1295,Data!Q1295,"d"),0)</f>
        <v>0</v>
      </c>
      <c r="R1295" s="81">
        <f>IF(Data!R1295&gt;Data!Q1295,DATEDIF(Data!Q1295,Data!R1295,"d"),0)</f>
        <v>0</v>
      </c>
    </row>
    <row r="1296" spans="3:18" x14ac:dyDescent="0.2">
      <c r="C1296" s="80">
        <f t="shared" ca="1" si="42"/>
        <v>45959</v>
      </c>
      <c r="D1296" s="81">
        <f>IF(Data!I1296&lt;&gt;"",DATEDIF(Data!I1296,C1296,"m"),0)</f>
        <v>0</v>
      </c>
      <c r="E1296" s="82">
        <f t="shared" si="43"/>
        <v>0</v>
      </c>
      <c r="I1296" s="81" t="str">
        <f>CONCATENATE(Data!M1296,"-",Data!L1296)</f>
        <v>-</v>
      </c>
      <c r="N1296" s="81">
        <f>IF(Data!P1296,DATEDIF(Data!O1296,Data!P1296,"d"),0)</f>
        <v>0</v>
      </c>
      <c r="O1296" s="81">
        <f>IF(Data!M1296="CD",1,0)</f>
        <v>0</v>
      </c>
      <c r="P1296" s="81">
        <f>IF(Data!M1296="CD",0,1)</f>
        <v>1</v>
      </c>
      <c r="Q1296" s="81">
        <f>IF(Data!Q1296&gt;Data!P1296,DATEDIF(Data!P1296,Data!Q1296,"d"),0)</f>
        <v>0</v>
      </c>
      <c r="R1296" s="81">
        <f>IF(Data!R1296&gt;Data!Q1296,DATEDIF(Data!Q1296,Data!R1296,"d"),0)</f>
        <v>0</v>
      </c>
    </row>
    <row r="1297" spans="3:18" x14ac:dyDescent="0.2">
      <c r="C1297" s="80">
        <f t="shared" ca="1" si="42"/>
        <v>45959</v>
      </c>
      <c r="D1297" s="81">
        <f>IF(Data!I1297&lt;&gt;"",DATEDIF(Data!I1297,C1297,"m"),0)</f>
        <v>0</v>
      </c>
      <c r="E1297" s="82">
        <f t="shared" si="43"/>
        <v>0</v>
      </c>
      <c r="I1297" s="81" t="str">
        <f>CONCATENATE(Data!M1297,"-",Data!L1297)</f>
        <v>-</v>
      </c>
      <c r="N1297" s="81">
        <f>IF(Data!P1297,DATEDIF(Data!O1297,Data!P1297,"d"),0)</f>
        <v>0</v>
      </c>
      <c r="O1297" s="81">
        <f>IF(Data!M1297="CD",1,0)</f>
        <v>0</v>
      </c>
      <c r="P1297" s="81">
        <f>IF(Data!M1297="CD",0,1)</f>
        <v>1</v>
      </c>
      <c r="Q1297" s="81">
        <f>IF(Data!Q1297&gt;Data!P1297,DATEDIF(Data!P1297,Data!Q1297,"d"),0)</f>
        <v>0</v>
      </c>
      <c r="R1297" s="81">
        <f>IF(Data!R1297&gt;Data!Q1297,DATEDIF(Data!Q1297,Data!R1297,"d"),0)</f>
        <v>0</v>
      </c>
    </row>
    <row r="1298" spans="3:18" x14ac:dyDescent="0.2">
      <c r="C1298" s="80">
        <f t="shared" ca="1" si="42"/>
        <v>45959</v>
      </c>
      <c r="D1298" s="81">
        <f>IF(Data!I1298&lt;&gt;"",DATEDIF(Data!I1298,C1298,"m"),0)</f>
        <v>0</v>
      </c>
      <c r="E1298" s="82">
        <f t="shared" si="43"/>
        <v>0</v>
      </c>
      <c r="I1298" s="81" t="str">
        <f>CONCATENATE(Data!M1298,"-",Data!L1298)</f>
        <v>-</v>
      </c>
      <c r="N1298" s="81">
        <f>IF(Data!P1298,DATEDIF(Data!O1298,Data!P1298,"d"),0)</f>
        <v>0</v>
      </c>
      <c r="O1298" s="81">
        <f>IF(Data!M1298="CD",1,0)</f>
        <v>0</v>
      </c>
      <c r="P1298" s="81">
        <f>IF(Data!M1298="CD",0,1)</f>
        <v>1</v>
      </c>
      <c r="Q1298" s="81">
        <f>IF(Data!Q1298&gt;Data!P1298,DATEDIF(Data!P1298,Data!Q1298,"d"),0)</f>
        <v>0</v>
      </c>
      <c r="R1298" s="81">
        <f>IF(Data!R1298&gt;Data!Q1298,DATEDIF(Data!Q1298,Data!R1298,"d"),0)</f>
        <v>0</v>
      </c>
    </row>
    <row r="1299" spans="3:18" x14ac:dyDescent="0.2">
      <c r="C1299" s="80">
        <f t="shared" ca="1" si="42"/>
        <v>45959</v>
      </c>
      <c r="D1299" s="81">
        <f>IF(Data!I1299&lt;&gt;"",DATEDIF(Data!I1299,C1299,"m"),0)</f>
        <v>0</v>
      </c>
      <c r="E1299" s="82">
        <f t="shared" si="43"/>
        <v>0</v>
      </c>
      <c r="I1299" s="81" t="str">
        <f>CONCATENATE(Data!M1299,"-",Data!L1299)</f>
        <v>-</v>
      </c>
      <c r="N1299" s="81">
        <f>IF(Data!P1299,DATEDIF(Data!O1299,Data!P1299,"d"),0)</f>
        <v>0</v>
      </c>
      <c r="O1299" s="81">
        <f>IF(Data!M1299="CD",1,0)</f>
        <v>0</v>
      </c>
      <c r="P1299" s="81">
        <f>IF(Data!M1299="CD",0,1)</f>
        <v>1</v>
      </c>
      <c r="Q1299" s="81">
        <f>IF(Data!Q1299&gt;Data!P1299,DATEDIF(Data!P1299,Data!Q1299,"d"),0)</f>
        <v>0</v>
      </c>
      <c r="R1299" s="81">
        <f>IF(Data!R1299&gt;Data!Q1299,DATEDIF(Data!Q1299,Data!R1299,"d"),0)</f>
        <v>0</v>
      </c>
    </row>
    <row r="1300" spans="3:18" x14ac:dyDescent="0.2">
      <c r="C1300" s="80">
        <f t="shared" ca="1" si="42"/>
        <v>45959</v>
      </c>
      <c r="D1300" s="81">
        <f>IF(Data!I1300&lt;&gt;"",DATEDIF(Data!I1300,C1300,"m"),0)</f>
        <v>0</v>
      </c>
      <c r="E1300" s="82">
        <f t="shared" si="43"/>
        <v>0</v>
      </c>
      <c r="I1300" s="81" t="str">
        <f>CONCATENATE(Data!M1300,"-",Data!L1300)</f>
        <v>-</v>
      </c>
      <c r="N1300" s="81">
        <f>IF(Data!P1300,DATEDIF(Data!O1300,Data!P1300,"d"),0)</f>
        <v>0</v>
      </c>
      <c r="O1300" s="81">
        <f>IF(Data!M1300="CD",1,0)</f>
        <v>0</v>
      </c>
      <c r="P1300" s="81">
        <f>IF(Data!M1300="CD",0,1)</f>
        <v>1</v>
      </c>
      <c r="Q1300" s="81">
        <f>IF(Data!Q1300&gt;Data!P1300,DATEDIF(Data!P1300,Data!Q1300,"d"),0)</f>
        <v>0</v>
      </c>
      <c r="R1300" s="81">
        <f>IF(Data!R1300&gt;Data!Q1300,DATEDIF(Data!Q1300,Data!R1300,"d"),0)</f>
        <v>0</v>
      </c>
    </row>
    <row r="1301" spans="3:18" x14ac:dyDescent="0.2">
      <c r="C1301" s="80">
        <f t="shared" ca="1" si="42"/>
        <v>45959</v>
      </c>
      <c r="D1301" s="81">
        <f>IF(Data!I1301&lt;&gt;"",DATEDIF(Data!I1301,C1301,"m"),0)</f>
        <v>0</v>
      </c>
      <c r="E1301" s="82">
        <f t="shared" si="43"/>
        <v>0</v>
      </c>
      <c r="I1301" s="81" t="str">
        <f>CONCATENATE(Data!M1301,"-",Data!L1301)</f>
        <v>-</v>
      </c>
      <c r="N1301" s="81">
        <f>IF(Data!P1301,DATEDIF(Data!O1301,Data!P1301,"d"),0)</f>
        <v>0</v>
      </c>
      <c r="O1301" s="81">
        <f>IF(Data!M1301="CD",1,0)</f>
        <v>0</v>
      </c>
      <c r="P1301" s="81">
        <f>IF(Data!M1301="CD",0,1)</f>
        <v>1</v>
      </c>
      <c r="Q1301" s="81">
        <f>IF(Data!Q1301&gt;Data!P1301,DATEDIF(Data!P1301,Data!Q1301,"d"),0)</f>
        <v>0</v>
      </c>
      <c r="R1301" s="81">
        <f>IF(Data!R1301&gt;Data!Q1301,DATEDIF(Data!Q1301,Data!R1301,"d"),0)</f>
        <v>0</v>
      </c>
    </row>
    <row r="1302" spans="3:18" x14ac:dyDescent="0.2">
      <c r="C1302" s="80">
        <f t="shared" ca="1" si="42"/>
        <v>45959</v>
      </c>
      <c r="D1302" s="81">
        <f>IF(Data!I1302&lt;&gt;"",DATEDIF(Data!I1302,C1302,"m"),0)</f>
        <v>0</v>
      </c>
      <c r="E1302" s="82">
        <f t="shared" si="43"/>
        <v>0</v>
      </c>
      <c r="I1302" s="81" t="str">
        <f>CONCATENATE(Data!M1302,"-",Data!L1302)</f>
        <v>-</v>
      </c>
      <c r="N1302" s="81">
        <f>IF(Data!P1302,DATEDIF(Data!O1302,Data!P1302,"d"),0)</f>
        <v>0</v>
      </c>
      <c r="O1302" s="81">
        <f>IF(Data!M1302="CD",1,0)</f>
        <v>0</v>
      </c>
      <c r="P1302" s="81">
        <f>IF(Data!M1302="CD",0,1)</f>
        <v>1</v>
      </c>
      <c r="Q1302" s="81">
        <f>IF(Data!Q1302&gt;Data!P1302,DATEDIF(Data!P1302,Data!Q1302,"d"),0)</f>
        <v>0</v>
      </c>
      <c r="R1302" s="81">
        <f>IF(Data!R1302&gt;Data!Q1302,DATEDIF(Data!Q1302,Data!R1302,"d"),0)</f>
        <v>0</v>
      </c>
    </row>
    <row r="1303" spans="3:18" x14ac:dyDescent="0.2">
      <c r="C1303" s="80">
        <f t="shared" ca="1" si="42"/>
        <v>45959</v>
      </c>
      <c r="D1303" s="81">
        <f>IF(Data!I1303&lt;&gt;"",DATEDIF(Data!I1303,C1303,"m"),0)</f>
        <v>0</v>
      </c>
      <c r="E1303" s="82">
        <f t="shared" si="43"/>
        <v>0</v>
      </c>
      <c r="I1303" s="81" t="str">
        <f>CONCATENATE(Data!M1303,"-",Data!L1303)</f>
        <v>-</v>
      </c>
      <c r="N1303" s="81">
        <f>IF(Data!P1303,DATEDIF(Data!O1303,Data!P1303,"d"),0)</f>
        <v>0</v>
      </c>
      <c r="O1303" s="81">
        <f>IF(Data!M1303="CD",1,0)</f>
        <v>0</v>
      </c>
      <c r="P1303" s="81">
        <f>IF(Data!M1303="CD",0,1)</f>
        <v>1</v>
      </c>
      <c r="Q1303" s="81">
        <f>IF(Data!Q1303&gt;Data!P1303,DATEDIF(Data!P1303,Data!Q1303,"d"),0)</f>
        <v>0</v>
      </c>
      <c r="R1303" s="81">
        <f>IF(Data!R1303&gt;Data!Q1303,DATEDIF(Data!Q1303,Data!R1303,"d"),0)</f>
        <v>0</v>
      </c>
    </row>
    <row r="1304" spans="3:18" x14ac:dyDescent="0.2">
      <c r="C1304" s="80">
        <f t="shared" ca="1" si="42"/>
        <v>45959</v>
      </c>
      <c r="D1304" s="81">
        <f>IF(Data!I1304&lt;&gt;"",DATEDIF(Data!I1304,C1304,"m"),0)</f>
        <v>0</v>
      </c>
      <c r="E1304" s="82">
        <f t="shared" si="43"/>
        <v>0</v>
      </c>
      <c r="I1304" s="81" t="str">
        <f>CONCATENATE(Data!M1304,"-",Data!L1304)</f>
        <v>-</v>
      </c>
      <c r="N1304" s="81">
        <f>IF(Data!P1304,DATEDIF(Data!O1304,Data!P1304,"d"),0)</f>
        <v>0</v>
      </c>
      <c r="O1304" s="81">
        <f>IF(Data!M1304="CD",1,0)</f>
        <v>0</v>
      </c>
      <c r="P1304" s="81">
        <f>IF(Data!M1304="CD",0,1)</f>
        <v>1</v>
      </c>
      <c r="Q1304" s="81">
        <f>IF(Data!Q1304&gt;Data!P1304,DATEDIF(Data!P1304,Data!Q1304,"d"),0)</f>
        <v>0</v>
      </c>
      <c r="R1304" s="81">
        <f>IF(Data!R1304&gt;Data!Q1304,DATEDIF(Data!Q1304,Data!R1304,"d"),0)</f>
        <v>0</v>
      </c>
    </row>
    <row r="1305" spans="3:18" x14ac:dyDescent="0.2">
      <c r="C1305" s="80">
        <f t="shared" ca="1" si="42"/>
        <v>45959</v>
      </c>
      <c r="D1305" s="81">
        <f>IF(Data!I1305&lt;&gt;"",DATEDIF(Data!I1305,C1305,"m"),0)</f>
        <v>0</v>
      </c>
      <c r="E1305" s="82">
        <f t="shared" si="43"/>
        <v>0</v>
      </c>
      <c r="I1305" s="81" t="str">
        <f>CONCATENATE(Data!M1305,"-",Data!L1305)</f>
        <v>-</v>
      </c>
      <c r="N1305" s="81">
        <f>IF(Data!P1305,DATEDIF(Data!O1305,Data!P1305,"d"),0)</f>
        <v>0</v>
      </c>
      <c r="O1305" s="81">
        <f>IF(Data!M1305="CD",1,0)</f>
        <v>0</v>
      </c>
      <c r="P1305" s="81">
        <f>IF(Data!M1305="CD",0,1)</f>
        <v>1</v>
      </c>
      <c r="Q1305" s="81">
        <f>IF(Data!Q1305&gt;Data!P1305,DATEDIF(Data!P1305,Data!Q1305,"d"),0)</f>
        <v>0</v>
      </c>
      <c r="R1305" s="81">
        <f>IF(Data!R1305&gt;Data!Q1305,DATEDIF(Data!Q1305,Data!R1305,"d"),0)</f>
        <v>0</v>
      </c>
    </row>
    <row r="1306" spans="3:18" x14ac:dyDescent="0.2">
      <c r="C1306" s="80">
        <f t="shared" ca="1" si="42"/>
        <v>45959</v>
      </c>
      <c r="D1306" s="81">
        <f>IF(Data!I1306&lt;&gt;"",DATEDIF(Data!I1306,C1306,"m"),0)</f>
        <v>0</v>
      </c>
      <c r="E1306" s="82">
        <f t="shared" si="43"/>
        <v>0</v>
      </c>
      <c r="I1306" s="81" t="str">
        <f>CONCATENATE(Data!M1306,"-",Data!L1306)</f>
        <v>-</v>
      </c>
      <c r="N1306" s="81">
        <f>IF(Data!P1306,DATEDIF(Data!O1306,Data!P1306,"d"),0)</f>
        <v>0</v>
      </c>
      <c r="O1306" s="81">
        <f>IF(Data!M1306="CD",1,0)</f>
        <v>0</v>
      </c>
      <c r="P1306" s="81">
        <f>IF(Data!M1306="CD",0,1)</f>
        <v>1</v>
      </c>
      <c r="Q1306" s="81">
        <f>IF(Data!Q1306&gt;Data!P1306,DATEDIF(Data!P1306,Data!Q1306,"d"),0)</f>
        <v>0</v>
      </c>
      <c r="R1306" s="81">
        <f>IF(Data!R1306&gt;Data!Q1306,DATEDIF(Data!Q1306,Data!R1306,"d"),0)</f>
        <v>0</v>
      </c>
    </row>
    <row r="1307" spans="3:18" x14ac:dyDescent="0.2">
      <c r="C1307" s="80">
        <f t="shared" ca="1" si="42"/>
        <v>45959</v>
      </c>
      <c r="D1307" s="81">
        <f>IF(Data!I1307&lt;&gt;"",DATEDIF(Data!I1307,C1307,"m"),0)</f>
        <v>0</v>
      </c>
      <c r="E1307" s="82">
        <f t="shared" si="43"/>
        <v>0</v>
      </c>
      <c r="I1307" s="81" t="str">
        <f>CONCATENATE(Data!M1307,"-",Data!L1307)</f>
        <v>-</v>
      </c>
      <c r="N1307" s="81">
        <f>IF(Data!P1307,DATEDIF(Data!O1307,Data!P1307,"d"),0)</f>
        <v>0</v>
      </c>
      <c r="O1307" s="81">
        <f>IF(Data!M1307="CD",1,0)</f>
        <v>0</v>
      </c>
      <c r="P1307" s="81">
        <f>IF(Data!M1307="CD",0,1)</f>
        <v>1</v>
      </c>
      <c r="Q1307" s="81">
        <f>IF(Data!Q1307&gt;Data!P1307,DATEDIF(Data!P1307,Data!Q1307,"d"),0)</f>
        <v>0</v>
      </c>
      <c r="R1307" s="81">
        <f>IF(Data!R1307&gt;Data!Q1307,DATEDIF(Data!Q1307,Data!R1307,"d"),0)</f>
        <v>0</v>
      </c>
    </row>
    <row r="1308" spans="3:18" x14ac:dyDescent="0.2">
      <c r="C1308" s="80">
        <f t="shared" ca="1" si="42"/>
        <v>45959</v>
      </c>
      <c r="D1308" s="81">
        <f>IF(Data!I1308&lt;&gt;"",DATEDIF(Data!I1308,C1308,"m"),0)</f>
        <v>0</v>
      </c>
      <c r="E1308" s="82">
        <f t="shared" si="43"/>
        <v>0</v>
      </c>
      <c r="I1308" s="81" t="str">
        <f>CONCATENATE(Data!M1308,"-",Data!L1308)</f>
        <v>-</v>
      </c>
      <c r="N1308" s="81">
        <f>IF(Data!P1308,DATEDIF(Data!O1308,Data!P1308,"d"),0)</f>
        <v>0</v>
      </c>
      <c r="O1308" s="81">
        <f>IF(Data!M1308="CD",1,0)</f>
        <v>0</v>
      </c>
      <c r="P1308" s="81">
        <f>IF(Data!M1308="CD",0,1)</f>
        <v>1</v>
      </c>
      <c r="Q1308" s="81">
        <f>IF(Data!Q1308&gt;Data!P1308,DATEDIF(Data!P1308,Data!Q1308,"d"),0)</f>
        <v>0</v>
      </c>
      <c r="R1308" s="81">
        <f>IF(Data!R1308&gt;Data!Q1308,DATEDIF(Data!Q1308,Data!R1308,"d"),0)</f>
        <v>0</v>
      </c>
    </row>
    <row r="1309" spans="3:18" x14ac:dyDescent="0.2">
      <c r="C1309" s="80">
        <f t="shared" ca="1" si="42"/>
        <v>45959</v>
      </c>
      <c r="D1309" s="81">
        <f>IF(Data!I1309&lt;&gt;"",DATEDIF(Data!I1309,C1309,"m"),0)</f>
        <v>0</v>
      </c>
      <c r="E1309" s="82">
        <f t="shared" si="43"/>
        <v>0</v>
      </c>
      <c r="I1309" s="81" t="str">
        <f>CONCATENATE(Data!M1309,"-",Data!L1309)</f>
        <v>-</v>
      </c>
      <c r="N1309" s="81">
        <f>IF(Data!P1309,DATEDIF(Data!O1309,Data!P1309,"d"),0)</f>
        <v>0</v>
      </c>
      <c r="O1309" s="81">
        <f>IF(Data!M1309="CD",1,0)</f>
        <v>0</v>
      </c>
      <c r="P1309" s="81">
        <f>IF(Data!M1309="CD",0,1)</f>
        <v>1</v>
      </c>
      <c r="Q1309" s="81">
        <f>IF(Data!Q1309&gt;Data!P1309,DATEDIF(Data!P1309,Data!Q1309,"d"),0)</f>
        <v>0</v>
      </c>
      <c r="R1309" s="81">
        <f>IF(Data!R1309&gt;Data!Q1309,DATEDIF(Data!Q1309,Data!R1309,"d"),0)</f>
        <v>0</v>
      </c>
    </row>
    <row r="1310" spans="3:18" x14ac:dyDescent="0.2">
      <c r="C1310" s="80">
        <f t="shared" ca="1" si="42"/>
        <v>45959</v>
      </c>
      <c r="D1310" s="81">
        <f>IF(Data!I1310&lt;&gt;"",DATEDIF(Data!I1310,C1310,"m"),0)</f>
        <v>0</v>
      </c>
      <c r="E1310" s="82">
        <f t="shared" si="43"/>
        <v>0</v>
      </c>
      <c r="I1310" s="81" t="str">
        <f>CONCATENATE(Data!M1310,"-",Data!L1310)</f>
        <v>-</v>
      </c>
      <c r="N1310" s="81">
        <f>IF(Data!P1310,DATEDIF(Data!O1310,Data!P1310,"d"),0)</f>
        <v>0</v>
      </c>
      <c r="O1310" s="81">
        <f>IF(Data!M1310="CD",1,0)</f>
        <v>0</v>
      </c>
      <c r="P1310" s="81">
        <f>IF(Data!M1310="CD",0,1)</f>
        <v>1</v>
      </c>
      <c r="Q1310" s="81">
        <f>IF(Data!Q1310&gt;Data!P1310,DATEDIF(Data!P1310,Data!Q1310,"d"),0)</f>
        <v>0</v>
      </c>
      <c r="R1310" s="81">
        <f>IF(Data!R1310&gt;Data!Q1310,DATEDIF(Data!Q1310,Data!R1310,"d"),0)</f>
        <v>0</v>
      </c>
    </row>
    <row r="1311" spans="3:18" x14ac:dyDescent="0.2">
      <c r="C1311" s="80">
        <f t="shared" ca="1" si="42"/>
        <v>45959</v>
      </c>
      <c r="D1311" s="81">
        <f>IF(Data!I1311&lt;&gt;"",DATEDIF(Data!I1311,C1311,"m"),0)</f>
        <v>0</v>
      </c>
      <c r="E1311" s="82">
        <f t="shared" si="43"/>
        <v>0</v>
      </c>
      <c r="I1311" s="81" t="str">
        <f>CONCATENATE(Data!M1311,"-",Data!L1311)</f>
        <v>-</v>
      </c>
      <c r="N1311" s="81">
        <f>IF(Data!P1311,DATEDIF(Data!O1311,Data!P1311,"d"),0)</f>
        <v>0</v>
      </c>
      <c r="O1311" s="81">
        <f>IF(Data!M1311="CD",1,0)</f>
        <v>0</v>
      </c>
      <c r="P1311" s="81">
        <f>IF(Data!M1311="CD",0,1)</f>
        <v>1</v>
      </c>
      <c r="Q1311" s="81">
        <f>IF(Data!Q1311&gt;Data!P1311,DATEDIF(Data!P1311,Data!Q1311,"d"),0)</f>
        <v>0</v>
      </c>
      <c r="R1311" s="81">
        <f>IF(Data!R1311&gt;Data!Q1311,DATEDIF(Data!Q1311,Data!R1311,"d"),0)</f>
        <v>0</v>
      </c>
    </row>
    <row r="1312" spans="3:18" x14ac:dyDescent="0.2">
      <c r="C1312" s="80">
        <f t="shared" ca="1" si="42"/>
        <v>45959</v>
      </c>
      <c r="D1312" s="81">
        <f>IF(Data!I1312&lt;&gt;"",DATEDIF(Data!I1312,C1312,"m"),0)</f>
        <v>0</v>
      </c>
      <c r="E1312" s="82">
        <f t="shared" si="43"/>
        <v>0</v>
      </c>
      <c r="I1312" s="81" t="str">
        <f>CONCATENATE(Data!M1312,"-",Data!L1312)</f>
        <v>-</v>
      </c>
      <c r="N1312" s="81">
        <f>IF(Data!P1312,DATEDIF(Data!O1312,Data!P1312,"d"),0)</f>
        <v>0</v>
      </c>
      <c r="O1312" s="81">
        <f>IF(Data!M1312="CD",1,0)</f>
        <v>0</v>
      </c>
      <c r="P1312" s="81">
        <f>IF(Data!M1312="CD",0,1)</f>
        <v>1</v>
      </c>
      <c r="Q1312" s="81">
        <f>IF(Data!Q1312&gt;Data!P1312,DATEDIF(Data!P1312,Data!Q1312,"d"),0)</f>
        <v>0</v>
      </c>
      <c r="R1312" s="81">
        <f>IF(Data!R1312&gt;Data!Q1312,DATEDIF(Data!Q1312,Data!R1312,"d"),0)</f>
        <v>0</v>
      </c>
    </row>
    <row r="1313" spans="3:18" x14ac:dyDescent="0.2">
      <c r="C1313" s="80">
        <f t="shared" ca="1" si="42"/>
        <v>45959</v>
      </c>
      <c r="D1313" s="81">
        <f>IF(Data!I1313&lt;&gt;"",DATEDIF(Data!I1313,C1313,"m"),0)</f>
        <v>0</v>
      </c>
      <c r="E1313" s="82">
        <f t="shared" si="43"/>
        <v>0</v>
      </c>
      <c r="I1313" s="81" t="str">
        <f>CONCATENATE(Data!M1313,"-",Data!L1313)</f>
        <v>-</v>
      </c>
      <c r="N1313" s="81">
        <f>IF(Data!P1313,DATEDIF(Data!O1313,Data!P1313,"d"),0)</f>
        <v>0</v>
      </c>
      <c r="O1313" s="81">
        <f>IF(Data!M1313="CD",1,0)</f>
        <v>0</v>
      </c>
      <c r="P1313" s="81">
        <f>IF(Data!M1313="CD",0,1)</f>
        <v>1</v>
      </c>
      <c r="Q1313" s="81">
        <f>IF(Data!Q1313&gt;Data!P1313,DATEDIF(Data!P1313,Data!Q1313,"d"),0)</f>
        <v>0</v>
      </c>
      <c r="R1313" s="81">
        <f>IF(Data!R1313&gt;Data!Q1313,DATEDIF(Data!Q1313,Data!R1313,"d"),0)</f>
        <v>0</v>
      </c>
    </row>
    <row r="1314" spans="3:18" x14ac:dyDescent="0.2">
      <c r="C1314" s="80">
        <f t="shared" ca="1" si="42"/>
        <v>45959</v>
      </c>
      <c r="D1314" s="81">
        <f>IF(Data!I1314&lt;&gt;"",DATEDIF(Data!I1314,C1314,"m"),0)</f>
        <v>0</v>
      </c>
      <c r="E1314" s="82">
        <f t="shared" si="43"/>
        <v>0</v>
      </c>
      <c r="I1314" s="81" t="str">
        <f>CONCATENATE(Data!M1314,"-",Data!L1314)</f>
        <v>-</v>
      </c>
      <c r="N1314" s="81">
        <f>IF(Data!P1314,DATEDIF(Data!O1314,Data!P1314,"d"),0)</f>
        <v>0</v>
      </c>
      <c r="O1314" s="81">
        <f>IF(Data!M1314="CD",1,0)</f>
        <v>0</v>
      </c>
      <c r="P1314" s="81">
        <f>IF(Data!M1314="CD",0,1)</f>
        <v>1</v>
      </c>
      <c r="Q1314" s="81">
        <f>IF(Data!Q1314&gt;Data!P1314,DATEDIF(Data!P1314,Data!Q1314,"d"),0)</f>
        <v>0</v>
      </c>
      <c r="R1314" s="81">
        <f>IF(Data!R1314&gt;Data!Q1314,DATEDIF(Data!Q1314,Data!R1314,"d"),0)</f>
        <v>0</v>
      </c>
    </row>
    <row r="1315" spans="3:18" x14ac:dyDescent="0.2">
      <c r="C1315" s="80">
        <f t="shared" ca="1" si="42"/>
        <v>45959</v>
      </c>
      <c r="D1315" s="81">
        <f>IF(Data!I1315&lt;&gt;"",DATEDIF(Data!I1315,C1315,"m"),0)</f>
        <v>0</v>
      </c>
      <c r="E1315" s="82">
        <f t="shared" si="43"/>
        <v>0</v>
      </c>
      <c r="I1315" s="81" t="str">
        <f>CONCATENATE(Data!M1315,"-",Data!L1315)</f>
        <v>-</v>
      </c>
      <c r="N1315" s="81">
        <f>IF(Data!P1315,DATEDIF(Data!O1315,Data!P1315,"d"),0)</f>
        <v>0</v>
      </c>
      <c r="O1315" s="81">
        <f>IF(Data!M1315="CD",1,0)</f>
        <v>0</v>
      </c>
      <c r="P1315" s="81">
        <f>IF(Data!M1315="CD",0,1)</f>
        <v>1</v>
      </c>
      <c r="Q1315" s="81">
        <f>IF(Data!Q1315&gt;Data!P1315,DATEDIF(Data!P1315,Data!Q1315,"d"),0)</f>
        <v>0</v>
      </c>
      <c r="R1315" s="81">
        <f>IF(Data!R1315&gt;Data!Q1315,DATEDIF(Data!Q1315,Data!R1315,"d"),0)</f>
        <v>0</v>
      </c>
    </row>
    <row r="1316" spans="3:18" x14ac:dyDescent="0.2">
      <c r="C1316" s="80">
        <f t="shared" ca="1" si="42"/>
        <v>45959</v>
      </c>
      <c r="D1316" s="81">
        <f>IF(Data!I1316&lt;&gt;"",DATEDIF(Data!I1316,C1316,"m"),0)</f>
        <v>0</v>
      </c>
      <c r="E1316" s="82">
        <f t="shared" si="43"/>
        <v>0</v>
      </c>
      <c r="I1316" s="81" t="str">
        <f>CONCATENATE(Data!M1316,"-",Data!L1316)</f>
        <v>-</v>
      </c>
      <c r="N1316" s="81">
        <f>IF(Data!P1316,DATEDIF(Data!O1316,Data!P1316,"d"),0)</f>
        <v>0</v>
      </c>
      <c r="O1316" s="81">
        <f>IF(Data!M1316="CD",1,0)</f>
        <v>0</v>
      </c>
      <c r="P1316" s="81">
        <f>IF(Data!M1316="CD",0,1)</f>
        <v>1</v>
      </c>
      <c r="Q1316" s="81">
        <f>IF(Data!Q1316&gt;Data!P1316,DATEDIF(Data!P1316,Data!Q1316,"d"),0)</f>
        <v>0</v>
      </c>
      <c r="R1316" s="81">
        <f>IF(Data!R1316&gt;Data!Q1316,DATEDIF(Data!Q1316,Data!R1316,"d"),0)</f>
        <v>0</v>
      </c>
    </row>
    <row r="1317" spans="3:18" x14ac:dyDescent="0.2">
      <c r="C1317" s="80">
        <f t="shared" ca="1" si="42"/>
        <v>45959</v>
      </c>
      <c r="D1317" s="81">
        <f>IF(Data!I1317&lt;&gt;"",DATEDIF(Data!I1317,C1317,"m"),0)</f>
        <v>0</v>
      </c>
      <c r="E1317" s="82">
        <f t="shared" si="43"/>
        <v>0</v>
      </c>
      <c r="I1317" s="81" t="str">
        <f>CONCATENATE(Data!M1317,"-",Data!L1317)</f>
        <v>-</v>
      </c>
      <c r="N1317" s="81">
        <f>IF(Data!P1317,DATEDIF(Data!O1317,Data!P1317,"d"),0)</f>
        <v>0</v>
      </c>
      <c r="O1317" s="81">
        <f>IF(Data!M1317="CD",1,0)</f>
        <v>0</v>
      </c>
      <c r="P1317" s="81">
        <f>IF(Data!M1317="CD",0,1)</f>
        <v>1</v>
      </c>
      <c r="Q1317" s="81">
        <f>IF(Data!Q1317&gt;Data!P1317,DATEDIF(Data!P1317,Data!Q1317,"d"),0)</f>
        <v>0</v>
      </c>
      <c r="R1317" s="81">
        <f>IF(Data!R1317&gt;Data!Q1317,DATEDIF(Data!Q1317,Data!R1317,"d"),0)</f>
        <v>0</v>
      </c>
    </row>
    <row r="1318" spans="3:18" x14ac:dyDescent="0.2">
      <c r="C1318" s="80">
        <f t="shared" ca="1" si="42"/>
        <v>45959</v>
      </c>
      <c r="D1318" s="81">
        <f>IF(Data!I1318&lt;&gt;"",DATEDIF(Data!I1318,C1318,"m"),0)</f>
        <v>0</v>
      </c>
      <c r="E1318" s="82">
        <f t="shared" si="43"/>
        <v>0</v>
      </c>
      <c r="I1318" s="81" t="str">
        <f>CONCATENATE(Data!M1318,"-",Data!L1318)</f>
        <v>-</v>
      </c>
      <c r="N1318" s="81">
        <f>IF(Data!P1318,DATEDIF(Data!O1318,Data!P1318,"d"),0)</f>
        <v>0</v>
      </c>
      <c r="O1318" s="81">
        <f>IF(Data!M1318="CD",1,0)</f>
        <v>0</v>
      </c>
      <c r="P1318" s="81">
        <f>IF(Data!M1318="CD",0,1)</f>
        <v>1</v>
      </c>
      <c r="Q1318" s="81">
        <f>IF(Data!Q1318&gt;Data!P1318,DATEDIF(Data!P1318,Data!Q1318,"d"),0)</f>
        <v>0</v>
      </c>
      <c r="R1318" s="81">
        <f>IF(Data!R1318&gt;Data!Q1318,DATEDIF(Data!Q1318,Data!R1318,"d"),0)</f>
        <v>0</v>
      </c>
    </row>
    <row r="1319" spans="3:18" x14ac:dyDescent="0.2">
      <c r="C1319" s="80">
        <f t="shared" ca="1" si="42"/>
        <v>45959</v>
      </c>
      <c r="D1319" s="81">
        <f>IF(Data!I1319&lt;&gt;"",DATEDIF(Data!I1319,C1319,"m"),0)</f>
        <v>0</v>
      </c>
      <c r="E1319" s="82">
        <f t="shared" ref="E1319:E1382" si="44">D1319/12</f>
        <v>0</v>
      </c>
      <c r="I1319" s="81" t="str">
        <f>CONCATENATE(Data!M1319,"-",Data!L1319)</f>
        <v>-</v>
      </c>
      <c r="N1319" s="81">
        <f>IF(Data!P1319,DATEDIF(Data!O1319,Data!P1319,"d"),0)</f>
        <v>0</v>
      </c>
      <c r="O1319" s="81">
        <f>IF(Data!M1319="CD",1,0)</f>
        <v>0</v>
      </c>
      <c r="P1319" s="81">
        <f>IF(Data!M1319="CD",0,1)</f>
        <v>1</v>
      </c>
      <c r="Q1319" s="81">
        <f>IF(Data!Q1319&gt;Data!P1319,DATEDIF(Data!P1319,Data!Q1319,"d"),0)</f>
        <v>0</v>
      </c>
      <c r="R1319" s="81">
        <f>IF(Data!R1319&gt;Data!Q1319,DATEDIF(Data!Q1319,Data!R1319,"d"),0)</f>
        <v>0</v>
      </c>
    </row>
    <row r="1320" spans="3:18" x14ac:dyDescent="0.2">
      <c r="C1320" s="80">
        <f t="shared" ca="1" si="42"/>
        <v>45959</v>
      </c>
      <c r="D1320" s="81">
        <f>IF(Data!I1320&lt;&gt;"",DATEDIF(Data!I1320,C1320,"m"),0)</f>
        <v>0</v>
      </c>
      <c r="E1320" s="82">
        <f t="shared" si="44"/>
        <v>0</v>
      </c>
      <c r="I1320" s="81" t="str">
        <f>CONCATENATE(Data!M1320,"-",Data!L1320)</f>
        <v>-</v>
      </c>
      <c r="N1320" s="81">
        <f>IF(Data!P1320,DATEDIF(Data!O1320,Data!P1320,"d"),0)</f>
        <v>0</v>
      </c>
      <c r="O1320" s="81">
        <f>IF(Data!M1320="CD",1,0)</f>
        <v>0</v>
      </c>
      <c r="P1320" s="81">
        <f>IF(Data!M1320="CD",0,1)</f>
        <v>1</v>
      </c>
      <c r="Q1320" s="81">
        <f>IF(Data!Q1320&gt;Data!P1320,DATEDIF(Data!P1320,Data!Q1320,"d"),0)</f>
        <v>0</v>
      </c>
      <c r="R1320" s="81">
        <f>IF(Data!R1320&gt;Data!Q1320,DATEDIF(Data!Q1320,Data!R1320,"d"),0)</f>
        <v>0</v>
      </c>
    </row>
    <row r="1321" spans="3:18" x14ac:dyDescent="0.2">
      <c r="C1321" s="80">
        <f t="shared" ca="1" si="42"/>
        <v>45959</v>
      </c>
      <c r="D1321" s="81">
        <f>IF(Data!I1321&lt;&gt;"",DATEDIF(Data!I1321,C1321,"m"),0)</f>
        <v>0</v>
      </c>
      <c r="E1321" s="82">
        <f t="shared" si="44"/>
        <v>0</v>
      </c>
      <c r="I1321" s="81" t="str">
        <f>CONCATENATE(Data!M1321,"-",Data!L1321)</f>
        <v>-</v>
      </c>
      <c r="N1321" s="81">
        <f>IF(Data!P1321,DATEDIF(Data!O1321,Data!P1321,"d"),0)</f>
        <v>0</v>
      </c>
      <c r="O1321" s="81">
        <f>IF(Data!M1321="CD",1,0)</f>
        <v>0</v>
      </c>
      <c r="P1321" s="81">
        <f>IF(Data!M1321="CD",0,1)</f>
        <v>1</v>
      </c>
      <c r="Q1321" s="81">
        <f>IF(Data!Q1321&gt;Data!P1321,DATEDIF(Data!P1321,Data!Q1321,"d"),0)</f>
        <v>0</v>
      </c>
      <c r="R1321" s="81">
        <f>IF(Data!R1321&gt;Data!Q1321,DATEDIF(Data!Q1321,Data!R1321,"d"),0)</f>
        <v>0</v>
      </c>
    </row>
    <row r="1322" spans="3:18" x14ac:dyDescent="0.2">
      <c r="C1322" s="80">
        <f t="shared" ca="1" si="42"/>
        <v>45959</v>
      </c>
      <c r="D1322" s="81">
        <f>IF(Data!I1322&lt;&gt;"",DATEDIF(Data!I1322,C1322,"m"),0)</f>
        <v>0</v>
      </c>
      <c r="E1322" s="82">
        <f t="shared" si="44"/>
        <v>0</v>
      </c>
      <c r="I1322" s="81" t="str">
        <f>CONCATENATE(Data!M1322,"-",Data!L1322)</f>
        <v>-</v>
      </c>
      <c r="N1322" s="81">
        <f>IF(Data!P1322,DATEDIF(Data!O1322,Data!P1322,"d"),0)</f>
        <v>0</v>
      </c>
      <c r="O1322" s="81">
        <f>IF(Data!M1322="CD",1,0)</f>
        <v>0</v>
      </c>
      <c r="P1322" s="81">
        <f>IF(Data!M1322="CD",0,1)</f>
        <v>1</v>
      </c>
      <c r="Q1322" s="81">
        <f>IF(Data!Q1322&gt;Data!P1322,DATEDIF(Data!P1322,Data!Q1322,"d"),0)</f>
        <v>0</v>
      </c>
      <c r="R1322" s="81">
        <f>IF(Data!R1322&gt;Data!Q1322,DATEDIF(Data!Q1322,Data!R1322,"d"),0)</f>
        <v>0</v>
      </c>
    </row>
    <row r="1323" spans="3:18" x14ac:dyDescent="0.2">
      <c r="C1323" s="80">
        <f t="shared" ca="1" si="42"/>
        <v>45959</v>
      </c>
      <c r="D1323" s="81">
        <f>IF(Data!I1323&lt;&gt;"",DATEDIF(Data!I1323,C1323,"m"),0)</f>
        <v>0</v>
      </c>
      <c r="E1323" s="82">
        <f t="shared" si="44"/>
        <v>0</v>
      </c>
      <c r="I1323" s="81" t="str">
        <f>CONCATENATE(Data!M1323,"-",Data!L1323)</f>
        <v>-</v>
      </c>
      <c r="N1323" s="81">
        <f>IF(Data!P1323,DATEDIF(Data!O1323,Data!P1323,"d"),0)</f>
        <v>0</v>
      </c>
      <c r="O1323" s="81">
        <f>IF(Data!M1323="CD",1,0)</f>
        <v>0</v>
      </c>
      <c r="P1323" s="81">
        <f>IF(Data!M1323="CD",0,1)</f>
        <v>1</v>
      </c>
      <c r="Q1323" s="81">
        <f>IF(Data!Q1323&gt;Data!P1323,DATEDIF(Data!P1323,Data!Q1323,"d"),0)</f>
        <v>0</v>
      </c>
      <c r="R1323" s="81">
        <f>IF(Data!R1323&gt;Data!Q1323,DATEDIF(Data!Q1323,Data!R1323,"d"),0)</f>
        <v>0</v>
      </c>
    </row>
    <row r="1324" spans="3:18" x14ac:dyDescent="0.2">
      <c r="C1324" s="80">
        <f t="shared" ca="1" si="42"/>
        <v>45959</v>
      </c>
      <c r="D1324" s="81">
        <f>IF(Data!I1324&lt;&gt;"",DATEDIF(Data!I1324,C1324,"m"),0)</f>
        <v>0</v>
      </c>
      <c r="E1324" s="82">
        <f t="shared" si="44"/>
        <v>0</v>
      </c>
      <c r="I1324" s="81" t="str">
        <f>CONCATENATE(Data!M1324,"-",Data!L1324)</f>
        <v>-</v>
      </c>
      <c r="N1324" s="81">
        <f>IF(Data!P1324,DATEDIF(Data!O1324,Data!P1324,"d"),0)</f>
        <v>0</v>
      </c>
      <c r="O1324" s="81">
        <f>IF(Data!M1324="CD",1,0)</f>
        <v>0</v>
      </c>
      <c r="P1324" s="81">
        <f>IF(Data!M1324="CD",0,1)</f>
        <v>1</v>
      </c>
      <c r="Q1324" s="81">
        <f>IF(Data!Q1324&gt;Data!P1324,DATEDIF(Data!P1324,Data!Q1324,"d"),0)</f>
        <v>0</v>
      </c>
      <c r="R1324" s="81">
        <f>IF(Data!R1324&gt;Data!Q1324,DATEDIF(Data!Q1324,Data!R1324,"d"),0)</f>
        <v>0</v>
      </c>
    </row>
    <row r="1325" spans="3:18" x14ac:dyDescent="0.2">
      <c r="C1325" s="80">
        <f t="shared" ca="1" si="42"/>
        <v>45959</v>
      </c>
      <c r="D1325" s="81">
        <f>IF(Data!I1325&lt;&gt;"",DATEDIF(Data!I1325,C1325,"m"),0)</f>
        <v>0</v>
      </c>
      <c r="E1325" s="82">
        <f t="shared" si="44"/>
        <v>0</v>
      </c>
      <c r="I1325" s="81" t="str">
        <f>CONCATENATE(Data!M1325,"-",Data!L1325)</f>
        <v>-</v>
      </c>
      <c r="N1325" s="81">
        <f>IF(Data!P1325,DATEDIF(Data!O1325,Data!P1325,"d"),0)</f>
        <v>0</v>
      </c>
      <c r="O1325" s="81">
        <f>IF(Data!M1325="CD",1,0)</f>
        <v>0</v>
      </c>
      <c r="P1325" s="81">
        <f>IF(Data!M1325="CD",0,1)</f>
        <v>1</v>
      </c>
      <c r="Q1325" s="81">
        <f>IF(Data!Q1325&gt;Data!P1325,DATEDIF(Data!P1325,Data!Q1325,"d"),0)</f>
        <v>0</v>
      </c>
      <c r="R1325" s="81">
        <f>IF(Data!R1325&gt;Data!Q1325,DATEDIF(Data!Q1325,Data!R1325,"d"),0)</f>
        <v>0</v>
      </c>
    </row>
    <row r="1326" spans="3:18" x14ac:dyDescent="0.2">
      <c r="C1326" s="80">
        <f t="shared" ca="1" si="42"/>
        <v>45959</v>
      </c>
      <c r="D1326" s="81">
        <f>IF(Data!I1326&lt;&gt;"",DATEDIF(Data!I1326,C1326,"m"),0)</f>
        <v>0</v>
      </c>
      <c r="E1326" s="82">
        <f t="shared" si="44"/>
        <v>0</v>
      </c>
      <c r="I1326" s="81" t="str">
        <f>CONCATENATE(Data!M1326,"-",Data!L1326)</f>
        <v>-</v>
      </c>
      <c r="N1326" s="81">
        <f>IF(Data!P1326,DATEDIF(Data!O1326,Data!P1326,"d"),0)</f>
        <v>0</v>
      </c>
      <c r="O1326" s="81">
        <f>IF(Data!M1326="CD",1,0)</f>
        <v>0</v>
      </c>
      <c r="P1326" s="81">
        <f>IF(Data!M1326="CD",0,1)</f>
        <v>1</v>
      </c>
      <c r="Q1326" s="81">
        <f>IF(Data!Q1326&gt;Data!P1326,DATEDIF(Data!P1326,Data!Q1326,"d"),0)</f>
        <v>0</v>
      </c>
      <c r="R1326" s="81">
        <f>IF(Data!R1326&gt;Data!Q1326,DATEDIF(Data!Q1326,Data!R1326,"d"),0)</f>
        <v>0</v>
      </c>
    </row>
    <row r="1327" spans="3:18" x14ac:dyDescent="0.2">
      <c r="C1327" s="80">
        <f t="shared" ca="1" si="42"/>
        <v>45959</v>
      </c>
      <c r="D1327" s="81">
        <f>IF(Data!I1327&lt;&gt;"",DATEDIF(Data!I1327,C1327,"m"),0)</f>
        <v>0</v>
      </c>
      <c r="E1327" s="82">
        <f t="shared" si="44"/>
        <v>0</v>
      </c>
      <c r="I1327" s="81" t="str">
        <f>CONCATENATE(Data!M1327,"-",Data!L1327)</f>
        <v>-</v>
      </c>
      <c r="N1327" s="81">
        <f>IF(Data!P1327,DATEDIF(Data!O1327,Data!P1327,"d"),0)</f>
        <v>0</v>
      </c>
      <c r="O1327" s="81">
        <f>IF(Data!M1327="CD",1,0)</f>
        <v>0</v>
      </c>
      <c r="P1327" s="81">
        <f>IF(Data!M1327="CD",0,1)</f>
        <v>1</v>
      </c>
      <c r="Q1327" s="81">
        <f>IF(Data!Q1327&gt;Data!P1327,DATEDIF(Data!P1327,Data!Q1327,"d"),0)</f>
        <v>0</v>
      </c>
      <c r="R1327" s="81">
        <f>IF(Data!R1327&gt;Data!Q1327,DATEDIF(Data!Q1327,Data!R1327,"d"),0)</f>
        <v>0</v>
      </c>
    </row>
    <row r="1328" spans="3:18" x14ac:dyDescent="0.2">
      <c r="C1328" s="80">
        <f t="shared" ca="1" si="42"/>
        <v>45959</v>
      </c>
      <c r="D1328" s="81">
        <f>IF(Data!I1328&lt;&gt;"",DATEDIF(Data!I1328,C1328,"m"),0)</f>
        <v>0</v>
      </c>
      <c r="E1328" s="82">
        <f t="shared" si="44"/>
        <v>0</v>
      </c>
      <c r="I1328" s="81" t="str">
        <f>CONCATENATE(Data!M1328,"-",Data!L1328)</f>
        <v>-</v>
      </c>
      <c r="N1328" s="81">
        <f>IF(Data!P1328,DATEDIF(Data!O1328,Data!P1328,"d"),0)</f>
        <v>0</v>
      </c>
      <c r="O1328" s="81">
        <f>IF(Data!M1328="CD",1,0)</f>
        <v>0</v>
      </c>
      <c r="P1328" s="81">
        <f>IF(Data!M1328="CD",0,1)</f>
        <v>1</v>
      </c>
      <c r="Q1328" s="81">
        <f>IF(Data!Q1328&gt;Data!P1328,DATEDIF(Data!P1328,Data!Q1328,"d"),0)</f>
        <v>0</v>
      </c>
      <c r="R1328" s="81">
        <f>IF(Data!R1328&gt;Data!Q1328,DATEDIF(Data!Q1328,Data!R1328,"d"),0)</f>
        <v>0</v>
      </c>
    </row>
    <row r="1329" spans="3:18" x14ac:dyDescent="0.2">
      <c r="C1329" s="80">
        <f t="shared" ca="1" si="42"/>
        <v>45959</v>
      </c>
      <c r="D1329" s="81">
        <f>IF(Data!I1329&lt;&gt;"",DATEDIF(Data!I1329,C1329,"m"),0)</f>
        <v>0</v>
      </c>
      <c r="E1329" s="82">
        <f t="shared" si="44"/>
        <v>0</v>
      </c>
      <c r="I1329" s="81" t="str">
        <f>CONCATENATE(Data!M1329,"-",Data!L1329)</f>
        <v>-</v>
      </c>
      <c r="N1329" s="81">
        <f>IF(Data!P1329,DATEDIF(Data!O1329,Data!P1329,"d"),0)</f>
        <v>0</v>
      </c>
      <c r="O1329" s="81">
        <f>IF(Data!M1329="CD",1,0)</f>
        <v>0</v>
      </c>
      <c r="P1329" s="81">
        <f>IF(Data!M1329="CD",0,1)</f>
        <v>1</v>
      </c>
      <c r="Q1329" s="81">
        <f>IF(Data!Q1329&gt;Data!P1329,DATEDIF(Data!P1329,Data!Q1329,"d"),0)</f>
        <v>0</v>
      </c>
      <c r="R1329" s="81">
        <f>IF(Data!R1329&gt;Data!Q1329,DATEDIF(Data!Q1329,Data!R1329,"d"),0)</f>
        <v>0</v>
      </c>
    </row>
    <row r="1330" spans="3:18" x14ac:dyDescent="0.2">
      <c r="C1330" s="80">
        <f t="shared" ca="1" si="42"/>
        <v>45959</v>
      </c>
      <c r="D1330" s="81">
        <f>IF(Data!I1330&lt;&gt;"",DATEDIF(Data!I1330,C1330,"m"),0)</f>
        <v>0</v>
      </c>
      <c r="E1330" s="82">
        <f t="shared" si="44"/>
        <v>0</v>
      </c>
      <c r="I1330" s="81" t="str">
        <f>CONCATENATE(Data!M1330,"-",Data!L1330)</f>
        <v>-</v>
      </c>
      <c r="N1330" s="81">
        <f>IF(Data!P1330,DATEDIF(Data!O1330,Data!P1330,"d"),0)</f>
        <v>0</v>
      </c>
      <c r="O1330" s="81">
        <f>IF(Data!M1330="CD",1,0)</f>
        <v>0</v>
      </c>
      <c r="P1330" s="81">
        <f>IF(Data!M1330="CD",0,1)</f>
        <v>1</v>
      </c>
      <c r="Q1330" s="81">
        <f>IF(Data!Q1330&gt;Data!P1330,DATEDIF(Data!P1330,Data!Q1330,"d"),0)</f>
        <v>0</v>
      </c>
      <c r="R1330" s="81">
        <f>IF(Data!R1330&gt;Data!Q1330,DATEDIF(Data!Q1330,Data!R1330,"d"),0)</f>
        <v>0</v>
      </c>
    </row>
    <row r="1331" spans="3:18" x14ac:dyDescent="0.2">
      <c r="C1331" s="80">
        <f t="shared" ca="1" si="42"/>
        <v>45959</v>
      </c>
      <c r="D1331" s="81">
        <f>IF(Data!I1331&lt;&gt;"",DATEDIF(Data!I1331,C1331,"m"),0)</f>
        <v>0</v>
      </c>
      <c r="E1331" s="82">
        <f t="shared" si="44"/>
        <v>0</v>
      </c>
      <c r="I1331" s="81" t="str">
        <f>CONCATENATE(Data!M1331,"-",Data!L1331)</f>
        <v>-</v>
      </c>
      <c r="N1331" s="81">
        <f>IF(Data!P1331,DATEDIF(Data!O1331,Data!P1331,"d"),0)</f>
        <v>0</v>
      </c>
      <c r="O1331" s="81">
        <f>IF(Data!M1331="CD",1,0)</f>
        <v>0</v>
      </c>
      <c r="P1331" s="81">
        <f>IF(Data!M1331="CD",0,1)</f>
        <v>1</v>
      </c>
      <c r="Q1331" s="81">
        <f>IF(Data!Q1331&gt;Data!P1331,DATEDIF(Data!P1331,Data!Q1331,"d"),0)</f>
        <v>0</v>
      </c>
      <c r="R1331" s="81">
        <f>IF(Data!R1331&gt;Data!Q1331,DATEDIF(Data!Q1331,Data!R1331,"d"),0)</f>
        <v>0</v>
      </c>
    </row>
    <row r="1332" spans="3:18" x14ac:dyDescent="0.2">
      <c r="C1332" s="80">
        <f t="shared" ca="1" si="42"/>
        <v>45959</v>
      </c>
      <c r="D1332" s="81">
        <f>IF(Data!I1332&lt;&gt;"",DATEDIF(Data!I1332,C1332,"m"),0)</f>
        <v>0</v>
      </c>
      <c r="E1332" s="82">
        <f t="shared" si="44"/>
        <v>0</v>
      </c>
      <c r="I1332" s="81" t="str">
        <f>CONCATENATE(Data!M1332,"-",Data!L1332)</f>
        <v>-</v>
      </c>
      <c r="N1332" s="81">
        <f>IF(Data!P1332,DATEDIF(Data!O1332,Data!P1332,"d"),0)</f>
        <v>0</v>
      </c>
      <c r="O1332" s="81">
        <f>IF(Data!M1332="CD",1,0)</f>
        <v>0</v>
      </c>
      <c r="P1332" s="81">
        <f>IF(Data!M1332="CD",0,1)</f>
        <v>1</v>
      </c>
      <c r="Q1332" s="81">
        <f>IF(Data!Q1332&gt;Data!P1332,DATEDIF(Data!P1332,Data!Q1332,"d"),0)</f>
        <v>0</v>
      </c>
      <c r="R1332" s="81">
        <f>IF(Data!R1332&gt;Data!Q1332,DATEDIF(Data!Q1332,Data!R1332,"d"),0)</f>
        <v>0</v>
      </c>
    </row>
    <row r="1333" spans="3:18" x14ac:dyDescent="0.2">
      <c r="C1333" s="80">
        <f t="shared" ca="1" si="42"/>
        <v>45959</v>
      </c>
      <c r="D1333" s="81">
        <f>IF(Data!I1333&lt;&gt;"",DATEDIF(Data!I1333,C1333,"m"),0)</f>
        <v>0</v>
      </c>
      <c r="E1333" s="82">
        <f t="shared" si="44"/>
        <v>0</v>
      </c>
      <c r="I1333" s="81" t="str">
        <f>CONCATENATE(Data!M1333,"-",Data!L1333)</f>
        <v>-</v>
      </c>
      <c r="N1333" s="81">
        <f>IF(Data!P1333,DATEDIF(Data!O1333,Data!P1333,"d"),0)</f>
        <v>0</v>
      </c>
      <c r="O1333" s="81">
        <f>IF(Data!M1333="CD",1,0)</f>
        <v>0</v>
      </c>
      <c r="P1333" s="81">
        <f>IF(Data!M1333="CD",0,1)</f>
        <v>1</v>
      </c>
      <c r="Q1333" s="81">
        <f>IF(Data!Q1333&gt;Data!P1333,DATEDIF(Data!P1333,Data!Q1333,"d"),0)</f>
        <v>0</v>
      </c>
      <c r="R1333" s="81">
        <f>IF(Data!R1333&gt;Data!Q1333,DATEDIF(Data!Q1333,Data!R1333,"d"),0)</f>
        <v>0</v>
      </c>
    </row>
    <row r="1334" spans="3:18" x14ac:dyDescent="0.2">
      <c r="C1334" s="80">
        <f t="shared" ca="1" si="42"/>
        <v>45959</v>
      </c>
      <c r="D1334" s="81">
        <f>IF(Data!I1334&lt;&gt;"",DATEDIF(Data!I1334,C1334,"m"),0)</f>
        <v>0</v>
      </c>
      <c r="E1334" s="82">
        <f t="shared" si="44"/>
        <v>0</v>
      </c>
      <c r="I1334" s="81" t="str">
        <f>CONCATENATE(Data!M1334,"-",Data!L1334)</f>
        <v>-</v>
      </c>
      <c r="N1334" s="81">
        <f>IF(Data!P1334,DATEDIF(Data!O1334,Data!P1334,"d"),0)</f>
        <v>0</v>
      </c>
      <c r="O1334" s="81">
        <f>IF(Data!M1334="CD",1,0)</f>
        <v>0</v>
      </c>
      <c r="P1334" s="81">
        <f>IF(Data!M1334="CD",0,1)</f>
        <v>1</v>
      </c>
      <c r="Q1334" s="81">
        <f>IF(Data!Q1334&gt;Data!P1334,DATEDIF(Data!P1334,Data!Q1334,"d"),0)</f>
        <v>0</v>
      </c>
      <c r="R1334" s="81">
        <f>IF(Data!R1334&gt;Data!Q1334,DATEDIF(Data!Q1334,Data!R1334,"d"),0)</f>
        <v>0</v>
      </c>
    </row>
    <row r="1335" spans="3:18" x14ac:dyDescent="0.2">
      <c r="C1335" s="80">
        <f t="shared" ca="1" si="42"/>
        <v>45959</v>
      </c>
      <c r="D1335" s="81">
        <f>IF(Data!I1335&lt;&gt;"",DATEDIF(Data!I1335,C1335,"m"),0)</f>
        <v>0</v>
      </c>
      <c r="E1335" s="82">
        <f t="shared" si="44"/>
        <v>0</v>
      </c>
      <c r="I1335" s="81" t="str">
        <f>CONCATENATE(Data!M1335,"-",Data!L1335)</f>
        <v>-</v>
      </c>
      <c r="N1335" s="81">
        <f>IF(Data!P1335,DATEDIF(Data!O1335,Data!P1335,"d"),0)</f>
        <v>0</v>
      </c>
      <c r="O1335" s="81">
        <f>IF(Data!M1335="CD",1,0)</f>
        <v>0</v>
      </c>
      <c r="P1335" s="81">
        <f>IF(Data!M1335="CD",0,1)</f>
        <v>1</v>
      </c>
      <c r="Q1335" s="81">
        <f>IF(Data!Q1335&gt;Data!P1335,DATEDIF(Data!P1335,Data!Q1335,"d"),0)</f>
        <v>0</v>
      </c>
      <c r="R1335" s="81">
        <f>IF(Data!R1335&gt;Data!Q1335,DATEDIF(Data!Q1335,Data!R1335,"d"),0)</f>
        <v>0</v>
      </c>
    </row>
    <row r="1336" spans="3:18" x14ac:dyDescent="0.2">
      <c r="C1336" s="80">
        <f t="shared" ca="1" si="42"/>
        <v>45959</v>
      </c>
      <c r="D1336" s="81">
        <f>IF(Data!I1336&lt;&gt;"",DATEDIF(Data!I1336,C1336,"m"),0)</f>
        <v>0</v>
      </c>
      <c r="E1336" s="82">
        <f t="shared" si="44"/>
        <v>0</v>
      </c>
      <c r="I1336" s="81" t="str">
        <f>CONCATENATE(Data!M1336,"-",Data!L1336)</f>
        <v>-</v>
      </c>
      <c r="N1336" s="81">
        <f>IF(Data!P1336,DATEDIF(Data!O1336,Data!P1336,"d"),0)</f>
        <v>0</v>
      </c>
      <c r="O1336" s="81">
        <f>IF(Data!M1336="CD",1,0)</f>
        <v>0</v>
      </c>
      <c r="P1336" s="81">
        <f>IF(Data!M1336="CD",0,1)</f>
        <v>1</v>
      </c>
      <c r="Q1336" s="81">
        <f>IF(Data!Q1336&gt;Data!P1336,DATEDIF(Data!P1336,Data!Q1336,"d"),0)</f>
        <v>0</v>
      </c>
      <c r="R1336" s="81">
        <f>IF(Data!R1336&gt;Data!Q1336,DATEDIF(Data!Q1336,Data!R1336,"d"),0)</f>
        <v>0</v>
      </c>
    </row>
    <row r="1337" spans="3:18" x14ac:dyDescent="0.2">
      <c r="C1337" s="80">
        <f t="shared" ca="1" si="42"/>
        <v>45959</v>
      </c>
      <c r="D1337" s="81">
        <f>IF(Data!I1337&lt;&gt;"",DATEDIF(Data!I1337,C1337,"m"),0)</f>
        <v>0</v>
      </c>
      <c r="E1337" s="82">
        <f t="shared" si="44"/>
        <v>0</v>
      </c>
      <c r="I1337" s="81" t="str">
        <f>CONCATENATE(Data!M1337,"-",Data!L1337)</f>
        <v>-</v>
      </c>
      <c r="N1337" s="81">
        <f>IF(Data!P1337,DATEDIF(Data!O1337,Data!P1337,"d"),0)</f>
        <v>0</v>
      </c>
      <c r="O1337" s="81">
        <f>IF(Data!M1337="CD",1,0)</f>
        <v>0</v>
      </c>
      <c r="P1337" s="81">
        <f>IF(Data!M1337="CD",0,1)</f>
        <v>1</v>
      </c>
      <c r="Q1337" s="81">
        <f>IF(Data!Q1337&gt;Data!P1337,DATEDIF(Data!P1337,Data!Q1337,"d"),0)</f>
        <v>0</v>
      </c>
      <c r="R1337" s="81">
        <f>IF(Data!R1337&gt;Data!Q1337,DATEDIF(Data!Q1337,Data!R1337,"d"),0)</f>
        <v>0</v>
      </c>
    </row>
    <row r="1338" spans="3:18" x14ac:dyDescent="0.2">
      <c r="C1338" s="80">
        <f t="shared" ca="1" si="42"/>
        <v>45959</v>
      </c>
      <c r="D1338" s="81">
        <f>IF(Data!I1338&lt;&gt;"",DATEDIF(Data!I1338,C1338,"m"),0)</f>
        <v>0</v>
      </c>
      <c r="E1338" s="82">
        <f t="shared" si="44"/>
        <v>0</v>
      </c>
      <c r="I1338" s="81" t="str">
        <f>CONCATENATE(Data!M1338,"-",Data!L1338)</f>
        <v>-</v>
      </c>
      <c r="N1338" s="81">
        <f>IF(Data!P1338,DATEDIF(Data!O1338,Data!P1338,"d"),0)</f>
        <v>0</v>
      </c>
      <c r="O1338" s="81">
        <f>IF(Data!M1338="CD",1,0)</f>
        <v>0</v>
      </c>
      <c r="P1338" s="81">
        <f>IF(Data!M1338="CD",0,1)</f>
        <v>1</v>
      </c>
      <c r="Q1338" s="81">
        <f>IF(Data!Q1338&gt;Data!P1338,DATEDIF(Data!P1338,Data!Q1338,"d"),0)</f>
        <v>0</v>
      </c>
      <c r="R1338" s="81">
        <f>IF(Data!R1338&gt;Data!Q1338,DATEDIF(Data!Q1338,Data!R1338,"d"),0)</f>
        <v>0</v>
      </c>
    </row>
    <row r="1339" spans="3:18" x14ac:dyDescent="0.2">
      <c r="C1339" s="80">
        <f t="shared" ca="1" si="42"/>
        <v>45959</v>
      </c>
      <c r="D1339" s="81">
        <f>IF(Data!I1339&lt;&gt;"",DATEDIF(Data!I1339,C1339,"m"),0)</f>
        <v>0</v>
      </c>
      <c r="E1339" s="82">
        <f t="shared" si="44"/>
        <v>0</v>
      </c>
      <c r="I1339" s="81" t="str">
        <f>CONCATENATE(Data!M1339,"-",Data!L1339)</f>
        <v>-</v>
      </c>
      <c r="N1339" s="81">
        <f>IF(Data!P1339,DATEDIF(Data!O1339,Data!P1339,"d"),0)</f>
        <v>0</v>
      </c>
      <c r="O1339" s="81">
        <f>IF(Data!M1339="CD",1,0)</f>
        <v>0</v>
      </c>
      <c r="P1339" s="81">
        <f>IF(Data!M1339="CD",0,1)</f>
        <v>1</v>
      </c>
      <c r="Q1339" s="81">
        <f>IF(Data!Q1339&gt;Data!P1339,DATEDIF(Data!P1339,Data!Q1339,"d"),0)</f>
        <v>0</v>
      </c>
      <c r="R1339" s="81">
        <f>IF(Data!R1339&gt;Data!Q1339,DATEDIF(Data!Q1339,Data!R1339,"d"),0)</f>
        <v>0</v>
      </c>
    </row>
    <row r="1340" spans="3:18" x14ac:dyDescent="0.2">
      <c r="C1340" s="80">
        <f t="shared" ca="1" si="42"/>
        <v>45959</v>
      </c>
      <c r="D1340" s="81">
        <f>IF(Data!I1340&lt;&gt;"",DATEDIF(Data!I1340,C1340,"m"),0)</f>
        <v>0</v>
      </c>
      <c r="E1340" s="82">
        <f t="shared" si="44"/>
        <v>0</v>
      </c>
      <c r="I1340" s="81" t="str">
        <f>CONCATENATE(Data!M1340,"-",Data!L1340)</f>
        <v>-</v>
      </c>
      <c r="N1340" s="81">
        <f>IF(Data!P1340,DATEDIF(Data!O1340,Data!P1340,"d"),0)</f>
        <v>0</v>
      </c>
      <c r="O1340" s="81">
        <f>IF(Data!M1340="CD",1,0)</f>
        <v>0</v>
      </c>
      <c r="P1340" s="81">
        <f>IF(Data!M1340="CD",0,1)</f>
        <v>1</v>
      </c>
      <c r="Q1340" s="81">
        <f>IF(Data!Q1340&gt;Data!P1340,DATEDIF(Data!P1340,Data!Q1340,"d"),0)</f>
        <v>0</v>
      </c>
      <c r="R1340" s="81">
        <f>IF(Data!R1340&gt;Data!Q1340,DATEDIF(Data!Q1340,Data!R1340,"d"),0)</f>
        <v>0</v>
      </c>
    </row>
    <row r="1341" spans="3:18" x14ac:dyDescent="0.2">
      <c r="C1341" s="80">
        <f t="shared" ca="1" si="42"/>
        <v>45959</v>
      </c>
      <c r="D1341" s="81">
        <f>IF(Data!I1341&lt;&gt;"",DATEDIF(Data!I1341,C1341,"m"),0)</f>
        <v>0</v>
      </c>
      <c r="E1341" s="82">
        <f t="shared" si="44"/>
        <v>0</v>
      </c>
      <c r="I1341" s="81" t="str">
        <f>CONCATENATE(Data!M1341,"-",Data!L1341)</f>
        <v>-</v>
      </c>
      <c r="N1341" s="81">
        <f>IF(Data!P1341,DATEDIF(Data!O1341,Data!P1341,"d"),0)</f>
        <v>0</v>
      </c>
      <c r="O1341" s="81">
        <f>IF(Data!M1341="CD",1,0)</f>
        <v>0</v>
      </c>
      <c r="P1341" s="81">
        <f>IF(Data!M1341="CD",0,1)</f>
        <v>1</v>
      </c>
      <c r="Q1341" s="81">
        <f>IF(Data!Q1341&gt;Data!P1341,DATEDIF(Data!P1341,Data!Q1341,"d"),0)</f>
        <v>0</v>
      </c>
      <c r="R1341" s="81">
        <f>IF(Data!R1341&gt;Data!Q1341,DATEDIF(Data!Q1341,Data!R1341,"d"),0)</f>
        <v>0</v>
      </c>
    </row>
    <row r="1342" spans="3:18" x14ac:dyDescent="0.2">
      <c r="C1342" s="80">
        <f t="shared" ca="1" si="42"/>
        <v>45959</v>
      </c>
      <c r="D1342" s="81">
        <f>IF(Data!I1342&lt;&gt;"",DATEDIF(Data!I1342,C1342,"m"),0)</f>
        <v>0</v>
      </c>
      <c r="E1342" s="82">
        <f t="shared" si="44"/>
        <v>0</v>
      </c>
      <c r="I1342" s="81" t="str">
        <f>CONCATENATE(Data!M1342,"-",Data!L1342)</f>
        <v>-</v>
      </c>
      <c r="N1342" s="81">
        <f>IF(Data!P1342,DATEDIF(Data!O1342,Data!P1342,"d"),0)</f>
        <v>0</v>
      </c>
      <c r="O1342" s="81">
        <f>IF(Data!M1342="CD",1,0)</f>
        <v>0</v>
      </c>
      <c r="P1342" s="81">
        <f>IF(Data!M1342="CD",0,1)</f>
        <v>1</v>
      </c>
      <c r="Q1342" s="81">
        <f>IF(Data!Q1342&gt;Data!P1342,DATEDIF(Data!P1342,Data!Q1342,"d"),0)</f>
        <v>0</v>
      </c>
      <c r="R1342" s="81">
        <f>IF(Data!R1342&gt;Data!Q1342,DATEDIF(Data!Q1342,Data!R1342,"d"),0)</f>
        <v>0</v>
      </c>
    </row>
    <row r="1343" spans="3:18" x14ac:dyDescent="0.2">
      <c r="C1343" s="80">
        <f t="shared" ca="1" si="42"/>
        <v>45959</v>
      </c>
      <c r="D1343" s="81">
        <f>IF(Data!I1343&lt;&gt;"",DATEDIF(Data!I1343,C1343,"m"),0)</f>
        <v>0</v>
      </c>
      <c r="E1343" s="82">
        <f t="shared" si="44"/>
        <v>0</v>
      </c>
      <c r="I1343" s="81" t="str">
        <f>CONCATENATE(Data!M1343,"-",Data!L1343)</f>
        <v>-</v>
      </c>
      <c r="N1343" s="81">
        <f>IF(Data!P1343,DATEDIF(Data!O1343,Data!P1343,"d"),0)</f>
        <v>0</v>
      </c>
      <c r="O1343" s="81">
        <f>IF(Data!M1343="CD",1,0)</f>
        <v>0</v>
      </c>
      <c r="P1343" s="81">
        <f>IF(Data!M1343="CD",0,1)</f>
        <v>1</v>
      </c>
      <c r="Q1343" s="81">
        <f>IF(Data!Q1343&gt;Data!P1343,DATEDIF(Data!P1343,Data!Q1343,"d"),0)</f>
        <v>0</v>
      </c>
      <c r="R1343" s="81">
        <f>IF(Data!R1343&gt;Data!Q1343,DATEDIF(Data!Q1343,Data!R1343,"d"),0)</f>
        <v>0</v>
      </c>
    </row>
    <row r="1344" spans="3:18" x14ac:dyDescent="0.2">
      <c r="C1344" s="80">
        <f t="shared" ca="1" si="42"/>
        <v>45959</v>
      </c>
      <c r="D1344" s="81">
        <f>IF(Data!I1344&lt;&gt;"",DATEDIF(Data!I1344,C1344,"m"),0)</f>
        <v>0</v>
      </c>
      <c r="E1344" s="82">
        <f t="shared" si="44"/>
        <v>0</v>
      </c>
      <c r="I1344" s="81" t="str">
        <f>CONCATENATE(Data!M1344,"-",Data!L1344)</f>
        <v>-</v>
      </c>
      <c r="N1344" s="81">
        <f>IF(Data!P1344,DATEDIF(Data!O1344,Data!P1344,"d"),0)</f>
        <v>0</v>
      </c>
      <c r="O1344" s="81">
        <f>IF(Data!M1344="CD",1,0)</f>
        <v>0</v>
      </c>
      <c r="P1344" s="81">
        <f>IF(Data!M1344="CD",0,1)</f>
        <v>1</v>
      </c>
      <c r="Q1344" s="81">
        <f>IF(Data!Q1344&gt;Data!P1344,DATEDIF(Data!P1344,Data!Q1344,"d"),0)</f>
        <v>0</v>
      </c>
      <c r="R1344" s="81">
        <f>IF(Data!R1344&gt;Data!Q1344,DATEDIF(Data!Q1344,Data!R1344,"d"),0)</f>
        <v>0</v>
      </c>
    </row>
    <row r="1345" spans="3:18" x14ac:dyDescent="0.2">
      <c r="C1345" s="80">
        <f t="shared" ca="1" si="42"/>
        <v>45959</v>
      </c>
      <c r="D1345" s="81">
        <f>IF(Data!I1345&lt;&gt;"",DATEDIF(Data!I1345,C1345,"m"),0)</f>
        <v>0</v>
      </c>
      <c r="E1345" s="82">
        <f t="shared" si="44"/>
        <v>0</v>
      </c>
      <c r="I1345" s="81" t="str">
        <f>CONCATENATE(Data!M1345,"-",Data!L1345)</f>
        <v>-</v>
      </c>
      <c r="N1345" s="81">
        <f>IF(Data!P1345,DATEDIF(Data!O1345,Data!P1345,"d"),0)</f>
        <v>0</v>
      </c>
      <c r="O1345" s="81">
        <f>IF(Data!M1345="CD",1,0)</f>
        <v>0</v>
      </c>
      <c r="P1345" s="81">
        <f>IF(Data!M1345="CD",0,1)</f>
        <v>1</v>
      </c>
      <c r="Q1345" s="81">
        <f>IF(Data!Q1345&gt;Data!P1345,DATEDIF(Data!P1345,Data!Q1345,"d"),0)</f>
        <v>0</v>
      </c>
      <c r="R1345" s="81">
        <f>IF(Data!R1345&gt;Data!Q1345,DATEDIF(Data!Q1345,Data!R1345,"d"),0)</f>
        <v>0</v>
      </c>
    </row>
    <row r="1346" spans="3:18" x14ac:dyDescent="0.2">
      <c r="C1346" s="80">
        <f t="shared" ref="C1346:C1409" ca="1" si="45">TODAY()</f>
        <v>45959</v>
      </c>
      <c r="D1346" s="81">
        <f>IF(Data!I1346&lt;&gt;"",DATEDIF(Data!I1346,C1346,"m"),0)</f>
        <v>0</v>
      </c>
      <c r="E1346" s="82">
        <f t="shared" si="44"/>
        <v>0</v>
      </c>
      <c r="I1346" s="81" t="str">
        <f>CONCATENATE(Data!M1346,"-",Data!L1346)</f>
        <v>-</v>
      </c>
      <c r="N1346" s="81">
        <f>IF(Data!P1346,DATEDIF(Data!O1346,Data!P1346,"d"),0)</f>
        <v>0</v>
      </c>
      <c r="O1346" s="81">
        <f>IF(Data!M1346="CD",1,0)</f>
        <v>0</v>
      </c>
      <c r="P1346" s="81">
        <f>IF(Data!M1346="CD",0,1)</f>
        <v>1</v>
      </c>
      <c r="Q1346" s="81">
        <f>IF(Data!Q1346&gt;Data!P1346,DATEDIF(Data!P1346,Data!Q1346,"d"),0)</f>
        <v>0</v>
      </c>
      <c r="R1346" s="81">
        <f>IF(Data!R1346&gt;Data!Q1346,DATEDIF(Data!Q1346,Data!R1346,"d"),0)</f>
        <v>0</v>
      </c>
    </row>
    <row r="1347" spans="3:18" x14ac:dyDescent="0.2">
      <c r="C1347" s="80">
        <f t="shared" ca="1" si="45"/>
        <v>45959</v>
      </c>
      <c r="D1347" s="81">
        <f>IF(Data!I1347&lt;&gt;"",DATEDIF(Data!I1347,C1347,"m"),0)</f>
        <v>0</v>
      </c>
      <c r="E1347" s="82">
        <f t="shared" si="44"/>
        <v>0</v>
      </c>
      <c r="I1347" s="81" t="str">
        <f>CONCATENATE(Data!M1347,"-",Data!L1347)</f>
        <v>-</v>
      </c>
      <c r="N1347" s="81">
        <f>IF(Data!P1347,DATEDIF(Data!O1347,Data!P1347,"d"),0)</f>
        <v>0</v>
      </c>
      <c r="O1347" s="81">
        <f>IF(Data!M1347="CD",1,0)</f>
        <v>0</v>
      </c>
      <c r="P1347" s="81">
        <f>IF(Data!M1347="CD",0,1)</f>
        <v>1</v>
      </c>
      <c r="Q1347" s="81">
        <f>IF(Data!Q1347&gt;Data!P1347,DATEDIF(Data!P1347,Data!Q1347,"d"),0)</f>
        <v>0</v>
      </c>
      <c r="R1347" s="81">
        <f>IF(Data!R1347&gt;Data!Q1347,DATEDIF(Data!Q1347,Data!R1347,"d"),0)</f>
        <v>0</v>
      </c>
    </row>
    <row r="1348" spans="3:18" x14ac:dyDescent="0.2">
      <c r="C1348" s="80">
        <f t="shared" ca="1" si="45"/>
        <v>45959</v>
      </c>
      <c r="D1348" s="81">
        <f>IF(Data!I1348&lt;&gt;"",DATEDIF(Data!I1348,C1348,"m"),0)</f>
        <v>0</v>
      </c>
      <c r="E1348" s="82">
        <f t="shared" si="44"/>
        <v>0</v>
      </c>
      <c r="I1348" s="81" t="str">
        <f>CONCATENATE(Data!M1348,"-",Data!L1348)</f>
        <v>-</v>
      </c>
      <c r="N1348" s="81">
        <f>IF(Data!P1348,DATEDIF(Data!O1348,Data!P1348,"d"),0)</f>
        <v>0</v>
      </c>
      <c r="O1348" s="81">
        <f>IF(Data!M1348="CD",1,0)</f>
        <v>0</v>
      </c>
      <c r="P1348" s="81">
        <f>IF(Data!M1348="CD",0,1)</f>
        <v>1</v>
      </c>
      <c r="Q1348" s="81">
        <f>IF(Data!Q1348&gt;Data!P1348,DATEDIF(Data!P1348,Data!Q1348,"d"),0)</f>
        <v>0</v>
      </c>
      <c r="R1348" s="81">
        <f>IF(Data!R1348&gt;Data!Q1348,DATEDIF(Data!Q1348,Data!R1348,"d"),0)</f>
        <v>0</v>
      </c>
    </row>
    <row r="1349" spans="3:18" x14ac:dyDescent="0.2">
      <c r="C1349" s="80">
        <f t="shared" ca="1" si="45"/>
        <v>45959</v>
      </c>
      <c r="D1349" s="81">
        <f>IF(Data!I1349&lt;&gt;"",DATEDIF(Data!I1349,C1349,"m"),0)</f>
        <v>0</v>
      </c>
      <c r="E1349" s="82">
        <f t="shared" si="44"/>
        <v>0</v>
      </c>
      <c r="I1349" s="81" t="str">
        <f>CONCATENATE(Data!M1349,"-",Data!L1349)</f>
        <v>-</v>
      </c>
      <c r="N1349" s="81">
        <f>IF(Data!P1349,DATEDIF(Data!O1349,Data!P1349,"d"),0)</f>
        <v>0</v>
      </c>
      <c r="O1349" s="81">
        <f>IF(Data!M1349="CD",1,0)</f>
        <v>0</v>
      </c>
      <c r="P1349" s="81">
        <f>IF(Data!M1349="CD",0,1)</f>
        <v>1</v>
      </c>
      <c r="Q1349" s="81">
        <f>IF(Data!Q1349&gt;Data!P1349,DATEDIF(Data!P1349,Data!Q1349,"d"),0)</f>
        <v>0</v>
      </c>
      <c r="R1349" s="81">
        <f>IF(Data!R1349&gt;Data!Q1349,DATEDIF(Data!Q1349,Data!R1349,"d"),0)</f>
        <v>0</v>
      </c>
    </row>
    <row r="1350" spans="3:18" x14ac:dyDescent="0.2">
      <c r="C1350" s="80">
        <f t="shared" ca="1" si="45"/>
        <v>45959</v>
      </c>
      <c r="D1350" s="81">
        <f>IF(Data!I1350&lt;&gt;"",DATEDIF(Data!I1350,C1350,"m"),0)</f>
        <v>0</v>
      </c>
      <c r="E1350" s="82">
        <f t="shared" si="44"/>
        <v>0</v>
      </c>
      <c r="I1350" s="81" t="str">
        <f>CONCATENATE(Data!M1350,"-",Data!L1350)</f>
        <v>-</v>
      </c>
      <c r="N1350" s="81">
        <f>IF(Data!P1350,DATEDIF(Data!O1350,Data!P1350,"d"),0)</f>
        <v>0</v>
      </c>
      <c r="O1350" s="81">
        <f>IF(Data!M1350="CD",1,0)</f>
        <v>0</v>
      </c>
      <c r="P1350" s="81">
        <f>IF(Data!M1350="CD",0,1)</f>
        <v>1</v>
      </c>
      <c r="Q1350" s="81">
        <f>IF(Data!Q1350&gt;Data!P1350,DATEDIF(Data!P1350,Data!Q1350,"d"),0)</f>
        <v>0</v>
      </c>
      <c r="R1350" s="81">
        <f>IF(Data!R1350&gt;Data!Q1350,DATEDIF(Data!Q1350,Data!R1350,"d"),0)</f>
        <v>0</v>
      </c>
    </row>
    <row r="1351" spans="3:18" x14ac:dyDescent="0.2">
      <c r="C1351" s="80">
        <f t="shared" ca="1" si="45"/>
        <v>45959</v>
      </c>
      <c r="D1351" s="81">
        <f>IF(Data!I1351&lt;&gt;"",DATEDIF(Data!I1351,C1351,"m"),0)</f>
        <v>0</v>
      </c>
      <c r="E1351" s="82">
        <f t="shared" si="44"/>
        <v>0</v>
      </c>
      <c r="I1351" s="81" t="str">
        <f>CONCATENATE(Data!M1351,"-",Data!L1351)</f>
        <v>-</v>
      </c>
      <c r="N1351" s="81">
        <f>IF(Data!P1351,DATEDIF(Data!O1351,Data!P1351,"d"),0)</f>
        <v>0</v>
      </c>
      <c r="O1351" s="81">
        <f>IF(Data!M1351="CD",1,0)</f>
        <v>0</v>
      </c>
      <c r="P1351" s="81">
        <f>IF(Data!M1351="CD",0,1)</f>
        <v>1</v>
      </c>
      <c r="Q1351" s="81">
        <f>IF(Data!Q1351&gt;Data!P1351,DATEDIF(Data!P1351,Data!Q1351,"d"),0)</f>
        <v>0</v>
      </c>
      <c r="R1351" s="81">
        <f>IF(Data!R1351&gt;Data!Q1351,DATEDIF(Data!Q1351,Data!R1351,"d"),0)</f>
        <v>0</v>
      </c>
    </row>
    <row r="1352" spans="3:18" x14ac:dyDescent="0.2">
      <c r="C1352" s="80">
        <f t="shared" ca="1" si="45"/>
        <v>45959</v>
      </c>
      <c r="D1352" s="81">
        <f>IF(Data!I1352&lt;&gt;"",DATEDIF(Data!I1352,C1352,"m"),0)</f>
        <v>0</v>
      </c>
      <c r="E1352" s="82">
        <f t="shared" si="44"/>
        <v>0</v>
      </c>
      <c r="I1352" s="81" t="str">
        <f>CONCATENATE(Data!M1352,"-",Data!L1352)</f>
        <v>-</v>
      </c>
      <c r="N1352" s="81">
        <f>IF(Data!P1352,DATEDIF(Data!O1352,Data!P1352,"d"),0)</f>
        <v>0</v>
      </c>
      <c r="O1352" s="81">
        <f>IF(Data!M1352="CD",1,0)</f>
        <v>0</v>
      </c>
      <c r="P1352" s="81">
        <f>IF(Data!M1352="CD",0,1)</f>
        <v>1</v>
      </c>
      <c r="Q1352" s="81">
        <f>IF(Data!Q1352&gt;Data!P1352,DATEDIF(Data!P1352,Data!Q1352,"d"),0)</f>
        <v>0</v>
      </c>
      <c r="R1352" s="81">
        <f>IF(Data!R1352&gt;Data!Q1352,DATEDIF(Data!Q1352,Data!R1352,"d"),0)</f>
        <v>0</v>
      </c>
    </row>
    <row r="1353" spans="3:18" x14ac:dyDescent="0.2">
      <c r="C1353" s="80">
        <f t="shared" ca="1" si="45"/>
        <v>45959</v>
      </c>
      <c r="D1353" s="81">
        <f>IF(Data!I1353&lt;&gt;"",DATEDIF(Data!I1353,C1353,"m"),0)</f>
        <v>0</v>
      </c>
      <c r="E1353" s="82">
        <f t="shared" si="44"/>
        <v>0</v>
      </c>
      <c r="I1353" s="81" t="str">
        <f>CONCATENATE(Data!M1353,"-",Data!L1353)</f>
        <v>-</v>
      </c>
      <c r="N1353" s="81">
        <f>IF(Data!P1353,DATEDIF(Data!O1353,Data!P1353,"d"),0)</f>
        <v>0</v>
      </c>
      <c r="O1353" s="81">
        <f>IF(Data!M1353="CD",1,0)</f>
        <v>0</v>
      </c>
      <c r="P1353" s="81">
        <f>IF(Data!M1353="CD",0,1)</f>
        <v>1</v>
      </c>
      <c r="Q1353" s="81">
        <f>IF(Data!Q1353&gt;Data!P1353,DATEDIF(Data!P1353,Data!Q1353,"d"),0)</f>
        <v>0</v>
      </c>
      <c r="R1353" s="81">
        <f>IF(Data!R1353&gt;Data!Q1353,DATEDIF(Data!Q1353,Data!R1353,"d"),0)</f>
        <v>0</v>
      </c>
    </row>
    <row r="1354" spans="3:18" x14ac:dyDescent="0.2">
      <c r="C1354" s="80">
        <f t="shared" ca="1" si="45"/>
        <v>45959</v>
      </c>
      <c r="D1354" s="81">
        <f>IF(Data!I1354&lt;&gt;"",DATEDIF(Data!I1354,C1354,"m"),0)</f>
        <v>0</v>
      </c>
      <c r="E1354" s="82">
        <f t="shared" si="44"/>
        <v>0</v>
      </c>
      <c r="I1354" s="81" t="str">
        <f>CONCATENATE(Data!M1354,"-",Data!L1354)</f>
        <v>-</v>
      </c>
      <c r="N1354" s="81">
        <f>IF(Data!P1354,DATEDIF(Data!O1354,Data!P1354,"d"),0)</f>
        <v>0</v>
      </c>
      <c r="O1354" s="81">
        <f>IF(Data!M1354="CD",1,0)</f>
        <v>0</v>
      </c>
      <c r="P1354" s="81">
        <f>IF(Data!M1354="CD",0,1)</f>
        <v>1</v>
      </c>
      <c r="Q1354" s="81">
        <f>IF(Data!Q1354&gt;Data!P1354,DATEDIF(Data!P1354,Data!Q1354,"d"),0)</f>
        <v>0</v>
      </c>
      <c r="R1354" s="81">
        <f>IF(Data!R1354&gt;Data!Q1354,DATEDIF(Data!Q1354,Data!R1354,"d"),0)</f>
        <v>0</v>
      </c>
    </row>
    <row r="1355" spans="3:18" x14ac:dyDescent="0.2">
      <c r="C1355" s="80">
        <f t="shared" ca="1" si="45"/>
        <v>45959</v>
      </c>
      <c r="D1355" s="81">
        <f>IF(Data!I1355&lt;&gt;"",DATEDIF(Data!I1355,C1355,"m"),0)</f>
        <v>0</v>
      </c>
      <c r="E1355" s="82">
        <f t="shared" si="44"/>
        <v>0</v>
      </c>
      <c r="I1355" s="81" t="str">
        <f>CONCATENATE(Data!M1355,"-",Data!L1355)</f>
        <v>-</v>
      </c>
      <c r="N1355" s="81">
        <f>IF(Data!P1355,DATEDIF(Data!O1355,Data!P1355,"d"),0)</f>
        <v>0</v>
      </c>
      <c r="O1355" s="81">
        <f>IF(Data!M1355="CD",1,0)</f>
        <v>0</v>
      </c>
      <c r="P1355" s="81">
        <f>IF(Data!M1355="CD",0,1)</f>
        <v>1</v>
      </c>
      <c r="Q1355" s="81">
        <f>IF(Data!Q1355&gt;Data!P1355,DATEDIF(Data!P1355,Data!Q1355,"d"),0)</f>
        <v>0</v>
      </c>
      <c r="R1355" s="81">
        <f>IF(Data!R1355&gt;Data!Q1355,DATEDIF(Data!Q1355,Data!R1355,"d"),0)</f>
        <v>0</v>
      </c>
    </row>
    <row r="1356" spans="3:18" x14ac:dyDescent="0.2">
      <c r="C1356" s="80">
        <f t="shared" ca="1" si="45"/>
        <v>45959</v>
      </c>
      <c r="D1356" s="81">
        <f>IF(Data!I1356&lt;&gt;"",DATEDIF(Data!I1356,C1356,"m"),0)</f>
        <v>0</v>
      </c>
      <c r="E1356" s="82">
        <f t="shared" si="44"/>
        <v>0</v>
      </c>
      <c r="I1356" s="81" t="str">
        <f>CONCATENATE(Data!M1356,"-",Data!L1356)</f>
        <v>-</v>
      </c>
      <c r="N1356" s="81">
        <f>IF(Data!P1356,DATEDIF(Data!O1356,Data!P1356,"d"),0)</f>
        <v>0</v>
      </c>
      <c r="O1356" s="81">
        <f>IF(Data!M1356="CD",1,0)</f>
        <v>0</v>
      </c>
      <c r="P1356" s="81">
        <f>IF(Data!M1356="CD",0,1)</f>
        <v>1</v>
      </c>
      <c r="Q1356" s="81">
        <f>IF(Data!Q1356&gt;Data!P1356,DATEDIF(Data!P1356,Data!Q1356,"d"),0)</f>
        <v>0</v>
      </c>
      <c r="R1356" s="81">
        <f>IF(Data!R1356&gt;Data!Q1356,DATEDIF(Data!Q1356,Data!R1356,"d"),0)</f>
        <v>0</v>
      </c>
    </row>
    <row r="1357" spans="3:18" x14ac:dyDescent="0.2">
      <c r="C1357" s="80">
        <f t="shared" ca="1" si="45"/>
        <v>45959</v>
      </c>
      <c r="D1357" s="81">
        <f>IF(Data!I1357&lt;&gt;"",DATEDIF(Data!I1357,C1357,"m"),0)</f>
        <v>0</v>
      </c>
      <c r="E1357" s="82">
        <f t="shared" si="44"/>
        <v>0</v>
      </c>
      <c r="I1357" s="81" t="str">
        <f>CONCATENATE(Data!M1357,"-",Data!L1357)</f>
        <v>-</v>
      </c>
      <c r="N1357" s="81">
        <f>IF(Data!P1357,DATEDIF(Data!O1357,Data!P1357,"d"),0)</f>
        <v>0</v>
      </c>
      <c r="O1357" s="81">
        <f>IF(Data!M1357="CD",1,0)</f>
        <v>0</v>
      </c>
      <c r="P1357" s="81">
        <f>IF(Data!M1357="CD",0,1)</f>
        <v>1</v>
      </c>
      <c r="Q1357" s="81">
        <f>IF(Data!Q1357&gt;Data!P1357,DATEDIF(Data!P1357,Data!Q1357,"d"),0)</f>
        <v>0</v>
      </c>
      <c r="R1357" s="81">
        <f>IF(Data!R1357&gt;Data!Q1357,DATEDIF(Data!Q1357,Data!R1357,"d"),0)</f>
        <v>0</v>
      </c>
    </row>
    <row r="1358" spans="3:18" x14ac:dyDescent="0.2">
      <c r="C1358" s="80">
        <f t="shared" ca="1" si="45"/>
        <v>45959</v>
      </c>
      <c r="D1358" s="81">
        <f>IF(Data!I1358&lt;&gt;"",DATEDIF(Data!I1358,C1358,"m"),0)</f>
        <v>0</v>
      </c>
      <c r="E1358" s="82">
        <f t="shared" si="44"/>
        <v>0</v>
      </c>
      <c r="I1358" s="81" t="str">
        <f>CONCATENATE(Data!M1358,"-",Data!L1358)</f>
        <v>-</v>
      </c>
      <c r="N1358" s="81">
        <f>IF(Data!P1358,DATEDIF(Data!O1358,Data!P1358,"d"),0)</f>
        <v>0</v>
      </c>
      <c r="O1358" s="81">
        <f>IF(Data!M1358="CD",1,0)</f>
        <v>0</v>
      </c>
      <c r="P1358" s="81">
        <f>IF(Data!M1358="CD",0,1)</f>
        <v>1</v>
      </c>
      <c r="Q1358" s="81">
        <f>IF(Data!Q1358&gt;Data!P1358,DATEDIF(Data!P1358,Data!Q1358,"d"),0)</f>
        <v>0</v>
      </c>
      <c r="R1358" s="81">
        <f>IF(Data!R1358&gt;Data!Q1358,DATEDIF(Data!Q1358,Data!R1358,"d"),0)</f>
        <v>0</v>
      </c>
    </row>
    <row r="1359" spans="3:18" x14ac:dyDescent="0.2">
      <c r="C1359" s="80">
        <f t="shared" ca="1" si="45"/>
        <v>45959</v>
      </c>
      <c r="D1359" s="81">
        <f>IF(Data!I1359&lt;&gt;"",DATEDIF(Data!I1359,C1359,"m"),0)</f>
        <v>0</v>
      </c>
      <c r="E1359" s="82">
        <f t="shared" si="44"/>
        <v>0</v>
      </c>
      <c r="I1359" s="81" t="str">
        <f>CONCATENATE(Data!M1359,"-",Data!L1359)</f>
        <v>-</v>
      </c>
      <c r="N1359" s="81">
        <f>IF(Data!P1359,DATEDIF(Data!O1359,Data!P1359,"d"),0)</f>
        <v>0</v>
      </c>
      <c r="O1359" s="81">
        <f>IF(Data!M1359="CD",1,0)</f>
        <v>0</v>
      </c>
      <c r="P1359" s="81">
        <f>IF(Data!M1359="CD",0,1)</f>
        <v>1</v>
      </c>
      <c r="Q1359" s="81">
        <f>IF(Data!Q1359&gt;Data!P1359,DATEDIF(Data!P1359,Data!Q1359,"d"),0)</f>
        <v>0</v>
      </c>
      <c r="R1359" s="81">
        <f>IF(Data!R1359&gt;Data!Q1359,DATEDIF(Data!Q1359,Data!R1359,"d"),0)</f>
        <v>0</v>
      </c>
    </row>
    <row r="1360" spans="3:18" x14ac:dyDescent="0.2">
      <c r="C1360" s="80">
        <f t="shared" ca="1" si="45"/>
        <v>45959</v>
      </c>
      <c r="D1360" s="81">
        <f>IF(Data!I1360&lt;&gt;"",DATEDIF(Data!I1360,C1360,"m"),0)</f>
        <v>0</v>
      </c>
      <c r="E1360" s="82">
        <f t="shared" si="44"/>
        <v>0</v>
      </c>
      <c r="I1360" s="81" t="str">
        <f>CONCATENATE(Data!M1360,"-",Data!L1360)</f>
        <v>-</v>
      </c>
      <c r="N1360" s="81">
        <f>IF(Data!P1360,DATEDIF(Data!O1360,Data!P1360,"d"),0)</f>
        <v>0</v>
      </c>
      <c r="O1360" s="81">
        <f>IF(Data!M1360="CD",1,0)</f>
        <v>0</v>
      </c>
      <c r="P1360" s="81">
        <f>IF(Data!M1360="CD",0,1)</f>
        <v>1</v>
      </c>
      <c r="Q1360" s="81">
        <f>IF(Data!Q1360&gt;Data!P1360,DATEDIF(Data!P1360,Data!Q1360,"d"),0)</f>
        <v>0</v>
      </c>
      <c r="R1360" s="81">
        <f>IF(Data!R1360&gt;Data!Q1360,DATEDIF(Data!Q1360,Data!R1360,"d"),0)</f>
        <v>0</v>
      </c>
    </row>
    <row r="1361" spans="3:18" x14ac:dyDescent="0.2">
      <c r="C1361" s="80">
        <f t="shared" ca="1" si="45"/>
        <v>45959</v>
      </c>
      <c r="D1361" s="81">
        <f>IF(Data!I1361&lt;&gt;"",DATEDIF(Data!I1361,C1361,"m"),0)</f>
        <v>0</v>
      </c>
      <c r="E1361" s="82">
        <f t="shared" si="44"/>
        <v>0</v>
      </c>
      <c r="I1361" s="81" t="str">
        <f>CONCATENATE(Data!M1361,"-",Data!L1361)</f>
        <v>-</v>
      </c>
      <c r="N1361" s="81">
        <f>IF(Data!P1361,DATEDIF(Data!O1361,Data!P1361,"d"),0)</f>
        <v>0</v>
      </c>
      <c r="O1361" s="81">
        <f>IF(Data!M1361="CD",1,0)</f>
        <v>0</v>
      </c>
      <c r="P1361" s="81">
        <f>IF(Data!M1361="CD",0,1)</f>
        <v>1</v>
      </c>
      <c r="Q1361" s="81">
        <f>IF(Data!Q1361&gt;Data!P1361,DATEDIF(Data!P1361,Data!Q1361,"d"),0)</f>
        <v>0</v>
      </c>
      <c r="R1361" s="81">
        <f>IF(Data!R1361&gt;Data!Q1361,DATEDIF(Data!Q1361,Data!R1361,"d"),0)</f>
        <v>0</v>
      </c>
    </row>
    <row r="1362" spans="3:18" x14ac:dyDescent="0.2">
      <c r="C1362" s="80">
        <f t="shared" ca="1" si="45"/>
        <v>45959</v>
      </c>
      <c r="D1362" s="81">
        <f>IF(Data!I1362&lt;&gt;"",DATEDIF(Data!I1362,C1362,"m"),0)</f>
        <v>0</v>
      </c>
      <c r="E1362" s="82">
        <f t="shared" si="44"/>
        <v>0</v>
      </c>
      <c r="I1362" s="81" t="str">
        <f>CONCATENATE(Data!M1362,"-",Data!L1362)</f>
        <v>-</v>
      </c>
      <c r="N1362" s="81">
        <f>IF(Data!P1362,DATEDIF(Data!O1362,Data!P1362,"d"),0)</f>
        <v>0</v>
      </c>
      <c r="O1362" s="81">
        <f>IF(Data!M1362="CD",1,0)</f>
        <v>0</v>
      </c>
      <c r="P1362" s="81">
        <f>IF(Data!M1362="CD",0,1)</f>
        <v>1</v>
      </c>
      <c r="Q1362" s="81">
        <f>IF(Data!Q1362&gt;Data!P1362,DATEDIF(Data!P1362,Data!Q1362,"d"),0)</f>
        <v>0</v>
      </c>
      <c r="R1362" s="81">
        <f>IF(Data!R1362&gt;Data!Q1362,DATEDIF(Data!Q1362,Data!R1362,"d"),0)</f>
        <v>0</v>
      </c>
    </row>
    <row r="1363" spans="3:18" x14ac:dyDescent="0.2">
      <c r="C1363" s="80">
        <f t="shared" ca="1" si="45"/>
        <v>45959</v>
      </c>
      <c r="D1363" s="81">
        <f>IF(Data!I1363&lt;&gt;"",DATEDIF(Data!I1363,C1363,"m"),0)</f>
        <v>0</v>
      </c>
      <c r="E1363" s="82">
        <f t="shared" si="44"/>
        <v>0</v>
      </c>
      <c r="I1363" s="81" t="str">
        <f>CONCATENATE(Data!M1363,"-",Data!L1363)</f>
        <v>-</v>
      </c>
      <c r="N1363" s="81">
        <f>IF(Data!P1363,DATEDIF(Data!O1363,Data!P1363,"d"),0)</f>
        <v>0</v>
      </c>
      <c r="O1363" s="81">
        <f>IF(Data!M1363="CD",1,0)</f>
        <v>0</v>
      </c>
      <c r="P1363" s="81">
        <f>IF(Data!M1363="CD",0,1)</f>
        <v>1</v>
      </c>
      <c r="Q1363" s="81">
        <f>IF(Data!Q1363&gt;Data!P1363,DATEDIF(Data!P1363,Data!Q1363,"d"),0)</f>
        <v>0</v>
      </c>
      <c r="R1363" s="81">
        <f>IF(Data!R1363&gt;Data!Q1363,DATEDIF(Data!Q1363,Data!R1363,"d"),0)</f>
        <v>0</v>
      </c>
    </row>
    <row r="1364" spans="3:18" x14ac:dyDescent="0.2">
      <c r="C1364" s="80">
        <f t="shared" ca="1" si="45"/>
        <v>45959</v>
      </c>
      <c r="D1364" s="81">
        <f>IF(Data!I1364&lt;&gt;"",DATEDIF(Data!I1364,C1364,"m"),0)</f>
        <v>0</v>
      </c>
      <c r="E1364" s="82">
        <f t="shared" si="44"/>
        <v>0</v>
      </c>
      <c r="I1364" s="81" t="str">
        <f>CONCATENATE(Data!M1364,"-",Data!L1364)</f>
        <v>-</v>
      </c>
      <c r="N1364" s="81">
        <f>IF(Data!P1364,DATEDIF(Data!O1364,Data!P1364,"d"),0)</f>
        <v>0</v>
      </c>
      <c r="O1364" s="81">
        <f>IF(Data!M1364="CD",1,0)</f>
        <v>0</v>
      </c>
      <c r="P1364" s="81">
        <f>IF(Data!M1364="CD",0,1)</f>
        <v>1</v>
      </c>
      <c r="Q1364" s="81">
        <f>IF(Data!Q1364&gt;Data!P1364,DATEDIF(Data!P1364,Data!Q1364,"d"),0)</f>
        <v>0</v>
      </c>
      <c r="R1364" s="81">
        <f>IF(Data!R1364&gt;Data!Q1364,DATEDIF(Data!Q1364,Data!R1364,"d"),0)</f>
        <v>0</v>
      </c>
    </row>
    <row r="1365" spans="3:18" x14ac:dyDescent="0.2">
      <c r="C1365" s="80">
        <f t="shared" ca="1" si="45"/>
        <v>45959</v>
      </c>
      <c r="D1365" s="81">
        <f>IF(Data!I1365&lt;&gt;"",DATEDIF(Data!I1365,C1365,"m"),0)</f>
        <v>0</v>
      </c>
      <c r="E1365" s="82">
        <f t="shared" si="44"/>
        <v>0</v>
      </c>
      <c r="I1365" s="81" t="str">
        <f>CONCATENATE(Data!M1365,"-",Data!L1365)</f>
        <v>-</v>
      </c>
      <c r="N1365" s="81">
        <f>IF(Data!P1365,DATEDIF(Data!O1365,Data!P1365,"d"),0)</f>
        <v>0</v>
      </c>
      <c r="O1365" s="81">
        <f>IF(Data!M1365="CD",1,0)</f>
        <v>0</v>
      </c>
      <c r="P1365" s="81">
        <f>IF(Data!M1365="CD",0,1)</f>
        <v>1</v>
      </c>
      <c r="Q1365" s="81">
        <f>IF(Data!Q1365&gt;Data!P1365,DATEDIF(Data!P1365,Data!Q1365,"d"),0)</f>
        <v>0</v>
      </c>
      <c r="R1365" s="81">
        <f>IF(Data!R1365&gt;Data!Q1365,DATEDIF(Data!Q1365,Data!R1365,"d"),0)</f>
        <v>0</v>
      </c>
    </row>
    <row r="1366" spans="3:18" x14ac:dyDescent="0.2">
      <c r="C1366" s="80">
        <f t="shared" ca="1" si="45"/>
        <v>45959</v>
      </c>
      <c r="D1366" s="81">
        <f>IF(Data!I1366&lt;&gt;"",DATEDIF(Data!I1366,C1366,"m"),0)</f>
        <v>0</v>
      </c>
      <c r="E1366" s="82">
        <f t="shared" si="44"/>
        <v>0</v>
      </c>
      <c r="I1366" s="81" t="str">
        <f>CONCATENATE(Data!M1366,"-",Data!L1366)</f>
        <v>-</v>
      </c>
      <c r="N1366" s="81">
        <f>IF(Data!P1366,DATEDIF(Data!O1366,Data!P1366,"d"),0)</f>
        <v>0</v>
      </c>
      <c r="O1366" s="81">
        <f>IF(Data!M1366="CD",1,0)</f>
        <v>0</v>
      </c>
      <c r="P1366" s="81">
        <f>IF(Data!M1366="CD",0,1)</f>
        <v>1</v>
      </c>
      <c r="Q1366" s="81">
        <f>IF(Data!Q1366&gt;Data!P1366,DATEDIF(Data!P1366,Data!Q1366,"d"),0)</f>
        <v>0</v>
      </c>
      <c r="R1366" s="81">
        <f>IF(Data!R1366&gt;Data!Q1366,DATEDIF(Data!Q1366,Data!R1366,"d"),0)</f>
        <v>0</v>
      </c>
    </row>
    <row r="1367" spans="3:18" x14ac:dyDescent="0.2">
      <c r="C1367" s="80">
        <f t="shared" ca="1" si="45"/>
        <v>45959</v>
      </c>
      <c r="D1367" s="81">
        <f>IF(Data!I1367&lt;&gt;"",DATEDIF(Data!I1367,C1367,"m"),0)</f>
        <v>0</v>
      </c>
      <c r="E1367" s="82">
        <f t="shared" si="44"/>
        <v>0</v>
      </c>
      <c r="I1367" s="81" t="str">
        <f>CONCATENATE(Data!M1367,"-",Data!L1367)</f>
        <v>-</v>
      </c>
      <c r="N1367" s="81">
        <f>IF(Data!P1367,DATEDIF(Data!O1367,Data!P1367,"d"),0)</f>
        <v>0</v>
      </c>
      <c r="O1367" s="81">
        <f>IF(Data!M1367="CD",1,0)</f>
        <v>0</v>
      </c>
      <c r="P1367" s="81">
        <f>IF(Data!M1367="CD",0,1)</f>
        <v>1</v>
      </c>
      <c r="Q1367" s="81">
        <f>IF(Data!Q1367&gt;Data!P1367,DATEDIF(Data!P1367,Data!Q1367,"d"),0)</f>
        <v>0</v>
      </c>
      <c r="R1367" s="81">
        <f>IF(Data!R1367&gt;Data!Q1367,DATEDIF(Data!Q1367,Data!R1367,"d"),0)</f>
        <v>0</v>
      </c>
    </row>
    <row r="1368" spans="3:18" x14ac:dyDescent="0.2">
      <c r="C1368" s="80">
        <f t="shared" ca="1" si="45"/>
        <v>45959</v>
      </c>
      <c r="D1368" s="81">
        <f>IF(Data!I1368&lt;&gt;"",DATEDIF(Data!I1368,C1368,"m"),0)</f>
        <v>0</v>
      </c>
      <c r="E1368" s="82">
        <f t="shared" si="44"/>
        <v>0</v>
      </c>
      <c r="I1368" s="81" t="str">
        <f>CONCATENATE(Data!M1368,"-",Data!L1368)</f>
        <v>-</v>
      </c>
      <c r="N1368" s="81">
        <f>IF(Data!P1368,DATEDIF(Data!O1368,Data!P1368,"d"),0)</f>
        <v>0</v>
      </c>
      <c r="O1368" s="81">
        <f>IF(Data!M1368="CD",1,0)</f>
        <v>0</v>
      </c>
      <c r="P1368" s="81">
        <f>IF(Data!M1368="CD",0,1)</f>
        <v>1</v>
      </c>
      <c r="Q1368" s="81">
        <f>IF(Data!Q1368&gt;Data!P1368,DATEDIF(Data!P1368,Data!Q1368,"d"),0)</f>
        <v>0</v>
      </c>
      <c r="R1368" s="81">
        <f>IF(Data!R1368&gt;Data!Q1368,DATEDIF(Data!Q1368,Data!R1368,"d"),0)</f>
        <v>0</v>
      </c>
    </row>
    <row r="1369" spans="3:18" x14ac:dyDescent="0.2">
      <c r="C1369" s="80">
        <f t="shared" ca="1" si="45"/>
        <v>45959</v>
      </c>
      <c r="D1369" s="81">
        <f>IF(Data!I1369&lt;&gt;"",DATEDIF(Data!I1369,C1369,"m"),0)</f>
        <v>0</v>
      </c>
      <c r="E1369" s="82">
        <f t="shared" si="44"/>
        <v>0</v>
      </c>
      <c r="I1369" s="81" t="str">
        <f>CONCATENATE(Data!M1369,"-",Data!L1369)</f>
        <v>-</v>
      </c>
      <c r="N1369" s="81">
        <f>IF(Data!P1369,DATEDIF(Data!O1369,Data!P1369,"d"),0)</f>
        <v>0</v>
      </c>
      <c r="O1369" s="81">
        <f>IF(Data!M1369="CD",1,0)</f>
        <v>0</v>
      </c>
      <c r="P1369" s="81">
        <f>IF(Data!M1369="CD",0,1)</f>
        <v>1</v>
      </c>
      <c r="Q1369" s="81">
        <f>IF(Data!Q1369&gt;Data!P1369,DATEDIF(Data!P1369,Data!Q1369,"d"),0)</f>
        <v>0</v>
      </c>
      <c r="R1369" s="81">
        <f>IF(Data!R1369&gt;Data!Q1369,DATEDIF(Data!Q1369,Data!R1369,"d"),0)</f>
        <v>0</v>
      </c>
    </row>
    <row r="1370" spans="3:18" x14ac:dyDescent="0.2">
      <c r="C1370" s="80">
        <f t="shared" ca="1" si="45"/>
        <v>45959</v>
      </c>
      <c r="D1370" s="81">
        <f>IF(Data!I1370&lt;&gt;"",DATEDIF(Data!I1370,C1370,"m"),0)</f>
        <v>0</v>
      </c>
      <c r="E1370" s="82">
        <f t="shared" si="44"/>
        <v>0</v>
      </c>
      <c r="I1370" s="81" t="str">
        <f>CONCATENATE(Data!M1370,"-",Data!L1370)</f>
        <v>-</v>
      </c>
      <c r="N1370" s="81">
        <f>IF(Data!P1370,DATEDIF(Data!O1370,Data!P1370,"d"),0)</f>
        <v>0</v>
      </c>
      <c r="O1370" s="81">
        <f>IF(Data!M1370="CD",1,0)</f>
        <v>0</v>
      </c>
      <c r="P1370" s="81">
        <f>IF(Data!M1370="CD",0,1)</f>
        <v>1</v>
      </c>
      <c r="Q1370" s="81">
        <f>IF(Data!Q1370&gt;Data!P1370,DATEDIF(Data!P1370,Data!Q1370,"d"),0)</f>
        <v>0</v>
      </c>
      <c r="R1370" s="81">
        <f>IF(Data!R1370&gt;Data!Q1370,DATEDIF(Data!Q1370,Data!R1370,"d"),0)</f>
        <v>0</v>
      </c>
    </row>
    <row r="1371" spans="3:18" x14ac:dyDescent="0.2">
      <c r="C1371" s="80">
        <f t="shared" ca="1" si="45"/>
        <v>45959</v>
      </c>
      <c r="D1371" s="81">
        <f>IF(Data!I1371&lt;&gt;"",DATEDIF(Data!I1371,C1371,"m"),0)</f>
        <v>0</v>
      </c>
      <c r="E1371" s="82">
        <f t="shared" si="44"/>
        <v>0</v>
      </c>
      <c r="I1371" s="81" t="str">
        <f>CONCATENATE(Data!M1371,"-",Data!L1371)</f>
        <v>-</v>
      </c>
      <c r="N1371" s="81">
        <f>IF(Data!P1371,DATEDIF(Data!O1371,Data!P1371,"d"),0)</f>
        <v>0</v>
      </c>
      <c r="O1371" s="81">
        <f>IF(Data!M1371="CD",1,0)</f>
        <v>0</v>
      </c>
      <c r="P1371" s="81">
        <f>IF(Data!M1371="CD",0,1)</f>
        <v>1</v>
      </c>
      <c r="Q1371" s="81">
        <f>IF(Data!Q1371&gt;Data!P1371,DATEDIF(Data!P1371,Data!Q1371,"d"),0)</f>
        <v>0</v>
      </c>
      <c r="R1371" s="81">
        <f>IF(Data!R1371&gt;Data!Q1371,DATEDIF(Data!Q1371,Data!R1371,"d"),0)</f>
        <v>0</v>
      </c>
    </row>
    <row r="1372" spans="3:18" x14ac:dyDescent="0.2">
      <c r="C1372" s="80">
        <f t="shared" ca="1" si="45"/>
        <v>45959</v>
      </c>
      <c r="D1372" s="81">
        <f>IF(Data!I1372&lt;&gt;"",DATEDIF(Data!I1372,C1372,"m"),0)</f>
        <v>0</v>
      </c>
      <c r="E1372" s="82">
        <f t="shared" si="44"/>
        <v>0</v>
      </c>
      <c r="I1372" s="81" t="str">
        <f>CONCATENATE(Data!M1372,"-",Data!L1372)</f>
        <v>-</v>
      </c>
      <c r="N1372" s="81">
        <f>IF(Data!P1372,DATEDIF(Data!O1372,Data!P1372,"d"),0)</f>
        <v>0</v>
      </c>
      <c r="O1372" s="81">
        <f>IF(Data!M1372="CD",1,0)</f>
        <v>0</v>
      </c>
      <c r="P1372" s="81">
        <f>IF(Data!M1372="CD",0,1)</f>
        <v>1</v>
      </c>
      <c r="Q1372" s="81">
        <f>IF(Data!Q1372&gt;Data!P1372,DATEDIF(Data!P1372,Data!Q1372,"d"),0)</f>
        <v>0</v>
      </c>
      <c r="R1372" s="81">
        <f>IF(Data!R1372&gt;Data!Q1372,DATEDIF(Data!Q1372,Data!R1372,"d"),0)</f>
        <v>0</v>
      </c>
    </row>
    <row r="1373" spans="3:18" x14ac:dyDescent="0.2">
      <c r="C1373" s="80">
        <f t="shared" ca="1" si="45"/>
        <v>45959</v>
      </c>
      <c r="D1373" s="81">
        <f>IF(Data!I1373&lt;&gt;"",DATEDIF(Data!I1373,C1373,"m"),0)</f>
        <v>0</v>
      </c>
      <c r="E1373" s="82">
        <f t="shared" si="44"/>
        <v>0</v>
      </c>
      <c r="I1373" s="81" t="str">
        <f>CONCATENATE(Data!M1373,"-",Data!L1373)</f>
        <v>-</v>
      </c>
      <c r="N1373" s="81">
        <f>IF(Data!P1373,DATEDIF(Data!O1373,Data!P1373,"d"),0)</f>
        <v>0</v>
      </c>
      <c r="O1373" s="81">
        <f>IF(Data!M1373="CD",1,0)</f>
        <v>0</v>
      </c>
      <c r="P1373" s="81">
        <f>IF(Data!M1373="CD",0,1)</f>
        <v>1</v>
      </c>
      <c r="Q1373" s="81">
        <f>IF(Data!Q1373&gt;Data!P1373,DATEDIF(Data!P1373,Data!Q1373,"d"),0)</f>
        <v>0</v>
      </c>
      <c r="R1373" s="81">
        <f>IF(Data!R1373&gt;Data!Q1373,DATEDIF(Data!Q1373,Data!R1373,"d"),0)</f>
        <v>0</v>
      </c>
    </row>
    <row r="1374" spans="3:18" x14ac:dyDescent="0.2">
      <c r="C1374" s="80">
        <f t="shared" ca="1" si="45"/>
        <v>45959</v>
      </c>
      <c r="D1374" s="81">
        <f>IF(Data!I1374&lt;&gt;"",DATEDIF(Data!I1374,C1374,"m"),0)</f>
        <v>0</v>
      </c>
      <c r="E1374" s="82">
        <f t="shared" si="44"/>
        <v>0</v>
      </c>
      <c r="I1374" s="81" t="str">
        <f>CONCATENATE(Data!M1374,"-",Data!L1374)</f>
        <v>-</v>
      </c>
      <c r="N1374" s="81">
        <f>IF(Data!P1374,DATEDIF(Data!O1374,Data!P1374,"d"),0)</f>
        <v>0</v>
      </c>
      <c r="O1374" s="81">
        <f>IF(Data!M1374="CD",1,0)</f>
        <v>0</v>
      </c>
      <c r="P1374" s="81">
        <f>IF(Data!M1374="CD",0,1)</f>
        <v>1</v>
      </c>
      <c r="Q1374" s="81">
        <f>IF(Data!Q1374&gt;Data!P1374,DATEDIF(Data!P1374,Data!Q1374,"d"),0)</f>
        <v>0</v>
      </c>
      <c r="R1374" s="81">
        <f>IF(Data!R1374&gt;Data!Q1374,DATEDIF(Data!Q1374,Data!R1374,"d"),0)</f>
        <v>0</v>
      </c>
    </row>
    <row r="1375" spans="3:18" x14ac:dyDescent="0.2">
      <c r="C1375" s="80">
        <f t="shared" ca="1" si="45"/>
        <v>45959</v>
      </c>
      <c r="D1375" s="81">
        <f>IF(Data!I1375&lt;&gt;"",DATEDIF(Data!I1375,C1375,"m"),0)</f>
        <v>0</v>
      </c>
      <c r="E1375" s="82">
        <f t="shared" si="44"/>
        <v>0</v>
      </c>
      <c r="I1375" s="81" t="str">
        <f>CONCATENATE(Data!M1375,"-",Data!L1375)</f>
        <v>-</v>
      </c>
      <c r="N1375" s="81">
        <f>IF(Data!P1375,DATEDIF(Data!O1375,Data!P1375,"d"),0)</f>
        <v>0</v>
      </c>
      <c r="O1375" s="81">
        <f>IF(Data!M1375="CD",1,0)</f>
        <v>0</v>
      </c>
      <c r="P1375" s="81">
        <f>IF(Data!M1375="CD",0,1)</f>
        <v>1</v>
      </c>
      <c r="Q1375" s="81">
        <f>IF(Data!Q1375&gt;Data!P1375,DATEDIF(Data!P1375,Data!Q1375,"d"),0)</f>
        <v>0</v>
      </c>
      <c r="R1375" s="81">
        <f>IF(Data!R1375&gt;Data!Q1375,DATEDIF(Data!Q1375,Data!R1375,"d"),0)</f>
        <v>0</v>
      </c>
    </row>
    <row r="1376" spans="3:18" x14ac:dyDescent="0.2">
      <c r="C1376" s="80">
        <f t="shared" ca="1" si="45"/>
        <v>45959</v>
      </c>
      <c r="D1376" s="81">
        <f>IF(Data!I1376&lt;&gt;"",DATEDIF(Data!I1376,C1376,"m"),0)</f>
        <v>0</v>
      </c>
      <c r="E1376" s="82">
        <f t="shared" si="44"/>
        <v>0</v>
      </c>
      <c r="I1376" s="81" t="str">
        <f>CONCATENATE(Data!M1376,"-",Data!L1376)</f>
        <v>-</v>
      </c>
      <c r="N1376" s="81">
        <f>IF(Data!P1376,DATEDIF(Data!O1376,Data!P1376,"d"),0)</f>
        <v>0</v>
      </c>
      <c r="O1376" s="81">
        <f>IF(Data!M1376="CD",1,0)</f>
        <v>0</v>
      </c>
      <c r="P1376" s="81">
        <f>IF(Data!M1376="CD",0,1)</f>
        <v>1</v>
      </c>
      <c r="Q1376" s="81">
        <f>IF(Data!Q1376&gt;Data!P1376,DATEDIF(Data!P1376,Data!Q1376,"d"),0)</f>
        <v>0</v>
      </c>
      <c r="R1376" s="81">
        <f>IF(Data!R1376&gt;Data!Q1376,DATEDIF(Data!Q1376,Data!R1376,"d"),0)</f>
        <v>0</v>
      </c>
    </row>
    <row r="1377" spans="3:18" x14ac:dyDescent="0.2">
      <c r="C1377" s="80">
        <f t="shared" ca="1" si="45"/>
        <v>45959</v>
      </c>
      <c r="D1377" s="81">
        <f>IF(Data!I1377&lt;&gt;"",DATEDIF(Data!I1377,C1377,"m"),0)</f>
        <v>0</v>
      </c>
      <c r="E1377" s="82">
        <f t="shared" si="44"/>
        <v>0</v>
      </c>
      <c r="I1377" s="81" t="str">
        <f>CONCATENATE(Data!M1377,"-",Data!L1377)</f>
        <v>-</v>
      </c>
      <c r="N1377" s="81">
        <f>IF(Data!P1377,DATEDIF(Data!O1377,Data!P1377,"d"),0)</f>
        <v>0</v>
      </c>
      <c r="O1377" s="81">
        <f>IF(Data!M1377="CD",1,0)</f>
        <v>0</v>
      </c>
      <c r="P1377" s="81">
        <f>IF(Data!M1377="CD",0,1)</f>
        <v>1</v>
      </c>
      <c r="Q1377" s="81">
        <f>IF(Data!Q1377&gt;Data!P1377,DATEDIF(Data!P1377,Data!Q1377,"d"),0)</f>
        <v>0</v>
      </c>
      <c r="R1377" s="81">
        <f>IF(Data!R1377&gt;Data!Q1377,DATEDIF(Data!Q1377,Data!R1377,"d"),0)</f>
        <v>0</v>
      </c>
    </row>
    <row r="1378" spans="3:18" x14ac:dyDescent="0.2">
      <c r="C1378" s="80">
        <f t="shared" ca="1" si="45"/>
        <v>45959</v>
      </c>
      <c r="D1378" s="81">
        <f>IF(Data!I1378&lt;&gt;"",DATEDIF(Data!I1378,C1378,"m"),0)</f>
        <v>0</v>
      </c>
      <c r="E1378" s="82">
        <f t="shared" si="44"/>
        <v>0</v>
      </c>
      <c r="I1378" s="81" t="str">
        <f>CONCATENATE(Data!M1378,"-",Data!L1378)</f>
        <v>-</v>
      </c>
      <c r="N1378" s="81">
        <f>IF(Data!P1378,DATEDIF(Data!O1378,Data!P1378,"d"),0)</f>
        <v>0</v>
      </c>
      <c r="O1378" s="81">
        <f>IF(Data!M1378="CD",1,0)</f>
        <v>0</v>
      </c>
      <c r="P1378" s="81">
        <f>IF(Data!M1378="CD",0,1)</f>
        <v>1</v>
      </c>
      <c r="Q1378" s="81">
        <f>IF(Data!Q1378&gt;Data!P1378,DATEDIF(Data!P1378,Data!Q1378,"d"),0)</f>
        <v>0</v>
      </c>
      <c r="R1378" s="81">
        <f>IF(Data!R1378&gt;Data!Q1378,DATEDIF(Data!Q1378,Data!R1378,"d"),0)</f>
        <v>0</v>
      </c>
    </row>
    <row r="1379" spans="3:18" x14ac:dyDescent="0.2">
      <c r="C1379" s="80">
        <f t="shared" ca="1" si="45"/>
        <v>45959</v>
      </c>
      <c r="D1379" s="81">
        <f>IF(Data!I1379&lt;&gt;"",DATEDIF(Data!I1379,C1379,"m"),0)</f>
        <v>0</v>
      </c>
      <c r="E1379" s="82">
        <f t="shared" si="44"/>
        <v>0</v>
      </c>
      <c r="I1379" s="81" t="str">
        <f>CONCATENATE(Data!M1379,"-",Data!L1379)</f>
        <v>-</v>
      </c>
      <c r="N1379" s="81">
        <f>IF(Data!P1379,DATEDIF(Data!O1379,Data!P1379,"d"),0)</f>
        <v>0</v>
      </c>
      <c r="O1379" s="81">
        <f>IF(Data!M1379="CD",1,0)</f>
        <v>0</v>
      </c>
      <c r="P1379" s="81">
        <f>IF(Data!M1379="CD",0,1)</f>
        <v>1</v>
      </c>
      <c r="Q1379" s="81">
        <f>IF(Data!Q1379&gt;Data!P1379,DATEDIF(Data!P1379,Data!Q1379,"d"),0)</f>
        <v>0</v>
      </c>
      <c r="R1379" s="81">
        <f>IF(Data!R1379&gt;Data!Q1379,DATEDIF(Data!Q1379,Data!R1379,"d"),0)</f>
        <v>0</v>
      </c>
    </row>
    <row r="1380" spans="3:18" x14ac:dyDescent="0.2">
      <c r="C1380" s="80">
        <f t="shared" ca="1" si="45"/>
        <v>45959</v>
      </c>
      <c r="D1380" s="81">
        <f>IF(Data!I1380&lt;&gt;"",DATEDIF(Data!I1380,C1380,"m"),0)</f>
        <v>0</v>
      </c>
      <c r="E1380" s="82">
        <f t="shared" si="44"/>
        <v>0</v>
      </c>
      <c r="I1380" s="81" t="str">
        <f>CONCATENATE(Data!M1380,"-",Data!L1380)</f>
        <v>-</v>
      </c>
      <c r="N1380" s="81">
        <f>IF(Data!P1380,DATEDIF(Data!O1380,Data!P1380,"d"),0)</f>
        <v>0</v>
      </c>
      <c r="O1380" s="81">
        <f>IF(Data!M1380="CD",1,0)</f>
        <v>0</v>
      </c>
      <c r="P1380" s="81">
        <f>IF(Data!M1380="CD",0,1)</f>
        <v>1</v>
      </c>
      <c r="Q1380" s="81">
        <f>IF(Data!Q1380&gt;Data!P1380,DATEDIF(Data!P1380,Data!Q1380,"d"),0)</f>
        <v>0</v>
      </c>
      <c r="R1380" s="81">
        <f>IF(Data!R1380&gt;Data!Q1380,DATEDIF(Data!Q1380,Data!R1380,"d"),0)</f>
        <v>0</v>
      </c>
    </row>
    <row r="1381" spans="3:18" x14ac:dyDescent="0.2">
      <c r="C1381" s="80">
        <f t="shared" ca="1" si="45"/>
        <v>45959</v>
      </c>
      <c r="D1381" s="81">
        <f>IF(Data!I1381&lt;&gt;"",DATEDIF(Data!I1381,C1381,"m"),0)</f>
        <v>0</v>
      </c>
      <c r="E1381" s="82">
        <f t="shared" si="44"/>
        <v>0</v>
      </c>
      <c r="I1381" s="81" t="str">
        <f>CONCATENATE(Data!M1381,"-",Data!L1381)</f>
        <v>-</v>
      </c>
      <c r="N1381" s="81">
        <f>IF(Data!P1381,DATEDIF(Data!O1381,Data!P1381,"d"),0)</f>
        <v>0</v>
      </c>
      <c r="O1381" s="81">
        <f>IF(Data!M1381="CD",1,0)</f>
        <v>0</v>
      </c>
      <c r="P1381" s="81">
        <f>IF(Data!M1381="CD",0,1)</f>
        <v>1</v>
      </c>
      <c r="Q1381" s="81">
        <f>IF(Data!Q1381&gt;Data!P1381,DATEDIF(Data!P1381,Data!Q1381,"d"),0)</f>
        <v>0</v>
      </c>
      <c r="R1381" s="81">
        <f>IF(Data!R1381&gt;Data!Q1381,DATEDIF(Data!Q1381,Data!R1381,"d"),0)</f>
        <v>0</v>
      </c>
    </row>
    <row r="1382" spans="3:18" x14ac:dyDescent="0.2">
      <c r="C1382" s="80">
        <f t="shared" ca="1" si="45"/>
        <v>45959</v>
      </c>
      <c r="D1382" s="81">
        <f>IF(Data!I1382&lt;&gt;"",DATEDIF(Data!I1382,C1382,"m"),0)</f>
        <v>0</v>
      </c>
      <c r="E1382" s="82">
        <f t="shared" si="44"/>
        <v>0</v>
      </c>
      <c r="I1382" s="81" t="str">
        <f>CONCATENATE(Data!M1382,"-",Data!L1382)</f>
        <v>-</v>
      </c>
      <c r="N1382" s="81">
        <f>IF(Data!P1382,DATEDIF(Data!O1382,Data!P1382,"d"),0)</f>
        <v>0</v>
      </c>
      <c r="O1382" s="81">
        <f>IF(Data!M1382="CD",1,0)</f>
        <v>0</v>
      </c>
      <c r="P1382" s="81">
        <f>IF(Data!M1382="CD",0,1)</f>
        <v>1</v>
      </c>
      <c r="Q1382" s="81">
        <f>IF(Data!Q1382&gt;Data!P1382,DATEDIF(Data!P1382,Data!Q1382,"d"),0)</f>
        <v>0</v>
      </c>
      <c r="R1382" s="81">
        <f>IF(Data!R1382&gt;Data!Q1382,DATEDIF(Data!Q1382,Data!R1382,"d"),0)</f>
        <v>0</v>
      </c>
    </row>
    <row r="1383" spans="3:18" x14ac:dyDescent="0.2">
      <c r="C1383" s="80">
        <f t="shared" ca="1" si="45"/>
        <v>45959</v>
      </c>
      <c r="D1383" s="81">
        <f>IF(Data!I1383&lt;&gt;"",DATEDIF(Data!I1383,C1383,"m"),0)</f>
        <v>0</v>
      </c>
      <c r="E1383" s="82">
        <f t="shared" ref="E1383:E1446" si="46">D1383/12</f>
        <v>0</v>
      </c>
      <c r="I1383" s="81" t="str">
        <f>CONCATENATE(Data!M1383,"-",Data!L1383)</f>
        <v>-</v>
      </c>
      <c r="N1383" s="81">
        <f>IF(Data!P1383,DATEDIF(Data!O1383,Data!P1383,"d"),0)</f>
        <v>0</v>
      </c>
      <c r="O1383" s="81">
        <f>IF(Data!M1383="CD",1,0)</f>
        <v>0</v>
      </c>
      <c r="P1383" s="81">
        <f>IF(Data!M1383="CD",0,1)</f>
        <v>1</v>
      </c>
      <c r="Q1383" s="81">
        <f>IF(Data!Q1383&gt;Data!P1383,DATEDIF(Data!P1383,Data!Q1383,"d"),0)</f>
        <v>0</v>
      </c>
      <c r="R1383" s="81">
        <f>IF(Data!R1383&gt;Data!Q1383,DATEDIF(Data!Q1383,Data!R1383,"d"),0)</f>
        <v>0</v>
      </c>
    </row>
    <row r="1384" spans="3:18" x14ac:dyDescent="0.2">
      <c r="C1384" s="80">
        <f t="shared" ca="1" si="45"/>
        <v>45959</v>
      </c>
      <c r="D1384" s="81">
        <f>IF(Data!I1384&lt;&gt;"",DATEDIF(Data!I1384,C1384,"m"),0)</f>
        <v>0</v>
      </c>
      <c r="E1384" s="82">
        <f t="shared" si="46"/>
        <v>0</v>
      </c>
      <c r="I1384" s="81" t="str">
        <f>CONCATENATE(Data!M1384,"-",Data!L1384)</f>
        <v>-</v>
      </c>
      <c r="N1384" s="81">
        <f>IF(Data!P1384,DATEDIF(Data!O1384,Data!P1384,"d"),0)</f>
        <v>0</v>
      </c>
      <c r="O1384" s="81">
        <f>IF(Data!M1384="CD",1,0)</f>
        <v>0</v>
      </c>
      <c r="P1384" s="81">
        <f>IF(Data!M1384="CD",0,1)</f>
        <v>1</v>
      </c>
      <c r="Q1384" s="81">
        <f>IF(Data!Q1384&gt;Data!P1384,DATEDIF(Data!P1384,Data!Q1384,"d"),0)</f>
        <v>0</v>
      </c>
      <c r="R1384" s="81">
        <f>IF(Data!R1384&gt;Data!Q1384,DATEDIF(Data!Q1384,Data!R1384,"d"),0)</f>
        <v>0</v>
      </c>
    </row>
    <row r="1385" spans="3:18" x14ac:dyDescent="0.2">
      <c r="C1385" s="80">
        <f t="shared" ca="1" si="45"/>
        <v>45959</v>
      </c>
      <c r="D1385" s="81">
        <f>IF(Data!I1385&lt;&gt;"",DATEDIF(Data!I1385,C1385,"m"),0)</f>
        <v>0</v>
      </c>
      <c r="E1385" s="82">
        <f t="shared" si="46"/>
        <v>0</v>
      </c>
      <c r="I1385" s="81" t="str">
        <f>CONCATENATE(Data!M1385,"-",Data!L1385)</f>
        <v>-</v>
      </c>
      <c r="N1385" s="81">
        <f>IF(Data!P1385,DATEDIF(Data!O1385,Data!P1385,"d"),0)</f>
        <v>0</v>
      </c>
      <c r="O1385" s="81">
        <f>IF(Data!M1385="CD",1,0)</f>
        <v>0</v>
      </c>
      <c r="P1385" s="81">
        <f>IF(Data!M1385="CD",0,1)</f>
        <v>1</v>
      </c>
      <c r="Q1385" s="81">
        <f>IF(Data!Q1385&gt;Data!P1385,DATEDIF(Data!P1385,Data!Q1385,"d"),0)</f>
        <v>0</v>
      </c>
      <c r="R1385" s="81">
        <f>IF(Data!R1385&gt;Data!Q1385,DATEDIF(Data!Q1385,Data!R1385,"d"),0)</f>
        <v>0</v>
      </c>
    </row>
    <row r="1386" spans="3:18" x14ac:dyDescent="0.2">
      <c r="C1386" s="80">
        <f t="shared" ca="1" si="45"/>
        <v>45959</v>
      </c>
      <c r="D1386" s="81">
        <f>IF(Data!I1386&lt;&gt;"",DATEDIF(Data!I1386,C1386,"m"),0)</f>
        <v>0</v>
      </c>
      <c r="E1386" s="82">
        <f t="shared" si="46"/>
        <v>0</v>
      </c>
      <c r="I1386" s="81" t="str">
        <f>CONCATENATE(Data!M1386,"-",Data!L1386)</f>
        <v>-</v>
      </c>
      <c r="N1386" s="81">
        <f>IF(Data!P1386,DATEDIF(Data!O1386,Data!P1386,"d"),0)</f>
        <v>0</v>
      </c>
      <c r="O1386" s="81">
        <f>IF(Data!M1386="CD",1,0)</f>
        <v>0</v>
      </c>
      <c r="P1386" s="81">
        <f>IF(Data!M1386="CD",0,1)</f>
        <v>1</v>
      </c>
      <c r="Q1386" s="81">
        <f>IF(Data!Q1386&gt;Data!P1386,DATEDIF(Data!P1386,Data!Q1386,"d"),0)</f>
        <v>0</v>
      </c>
      <c r="R1386" s="81">
        <f>IF(Data!R1386&gt;Data!Q1386,DATEDIF(Data!Q1386,Data!R1386,"d"),0)</f>
        <v>0</v>
      </c>
    </row>
    <row r="1387" spans="3:18" x14ac:dyDescent="0.2">
      <c r="C1387" s="80">
        <f t="shared" ca="1" si="45"/>
        <v>45959</v>
      </c>
      <c r="D1387" s="81">
        <f>IF(Data!I1387&lt;&gt;"",DATEDIF(Data!I1387,C1387,"m"),0)</f>
        <v>0</v>
      </c>
      <c r="E1387" s="82">
        <f t="shared" si="46"/>
        <v>0</v>
      </c>
      <c r="I1387" s="81" t="str">
        <f>CONCATENATE(Data!M1387,"-",Data!L1387)</f>
        <v>-</v>
      </c>
      <c r="N1387" s="81">
        <f>IF(Data!P1387,DATEDIF(Data!O1387,Data!P1387,"d"),0)</f>
        <v>0</v>
      </c>
      <c r="O1387" s="81">
        <f>IF(Data!M1387="CD",1,0)</f>
        <v>0</v>
      </c>
      <c r="P1387" s="81">
        <f>IF(Data!M1387="CD",0,1)</f>
        <v>1</v>
      </c>
      <c r="Q1387" s="81">
        <f>IF(Data!Q1387&gt;Data!P1387,DATEDIF(Data!P1387,Data!Q1387,"d"),0)</f>
        <v>0</v>
      </c>
      <c r="R1387" s="81">
        <f>IF(Data!R1387&gt;Data!Q1387,DATEDIF(Data!Q1387,Data!R1387,"d"),0)</f>
        <v>0</v>
      </c>
    </row>
    <row r="1388" spans="3:18" x14ac:dyDescent="0.2">
      <c r="C1388" s="80">
        <f t="shared" ca="1" si="45"/>
        <v>45959</v>
      </c>
      <c r="D1388" s="81">
        <f>IF(Data!I1388&lt;&gt;"",DATEDIF(Data!I1388,C1388,"m"),0)</f>
        <v>0</v>
      </c>
      <c r="E1388" s="82">
        <f t="shared" si="46"/>
        <v>0</v>
      </c>
      <c r="I1388" s="81" t="str">
        <f>CONCATENATE(Data!M1388,"-",Data!L1388)</f>
        <v>-</v>
      </c>
      <c r="N1388" s="81">
        <f>IF(Data!P1388,DATEDIF(Data!O1388,Data!P1388,"d"),0)</f>
        <v>0</v>
      </c>
      <c r="O1388" s="81">
        <f>IF(Data!M1388="CD",1,0)</f>
        <v>0</v>
      </c>
      <c r="P1388" s="81">
        <f>IF(Data!M1388="CD",0,1)</f>
        <v>1</v>
      </c>
      <c r="Q1388" s="81">
        <f>IF(Data!Q1388&gt;Data!P1388,DATEDIF(Data!P1388,Data!Q1388,"d"),0)</f>
        <v>0</v>
      </c>
      <c r="R1388" s="81">
        <f>IF(Data!R1388&gt;Data!Q1388,DATEDIF(Data!Q1388,Data!R1388,"d"),0)</f>
        <v>0</v>
      </c>
    </row>
    <row r="1389" spans="3:18" x14ac:dyDescent="0.2">
      <c r="C1389" s="80">
        <f t="shared" ca="1" si="45"/>
        <v>45959</v>
      </c>
      <c r="D1389" s="81">
        <f>IF(Data!I1389&lt;&gt;"",DATEDIF(Data!I1389,C1389,"m"),0)</f>
        <v>0</v>
      </c>
      <c r="E1389" s="82">
        <f t="shared" si="46"/>
        <v>0</v>
      </c>
      <c r="I1389" s="81" t="str">
        <f>CONCATENATE(Data!M1389,"-",Data!L1389)</f>
        <v>-</v>
      </c>
      <c r="N1389" s="81">
        <f>IF(Data!P1389,DATEDIF(Data!O1389,Data!P1389,"d"),0)</f>
        <v>0</v>
      </c>
      <c r="O1389" s="81">
        <f>IF(Data!M1389="CD",1,0)</f>
        <v>0</v>
      </c>
      <c r="P1389" s="81">
        <f>IF(Data!M1389="CD",0,1)</f>
        <v>1</v>
      </c>
      <c r="Q1389" s="81">
        <f>IF(Data!Q1389&gt;Data!P1389,DATEDIF(Data!P1389,Data!Q1389,"d"),0)</f>
        <v>0</v>
      </c>
      <c r="R1389" s="81">
        <f>IF(Data!R1389&gt;Data!Q1389,DATEDIF(Data!Q1389,Data!R1389,"d"),0)</f>
        <v>0</v>
      </c>
    </row>
    <row r="1390" spans="3:18" x14ac:dyDescent="0.2">
      <c r="C1390" s="80">
        <f t="shared" ca="1" si="45"/>
        <v>45959</v>
      </c>
      <c r="D1390" s="81">
        <f>IF(Data!I1390&lt;&gt;"",DATEDIF(Data!I1390,C1390,"m"),0)</f>
        <v>0</v>
      </c>
      <c r="E1390" s="82">
        <f t="shared" si="46"/>
        <v>0</v>
      </c>
      <c r="I1390" s="81" t="str">
        <f>CONCATENATE(Data!M1390,"-",Data!L1390)</f>
        <v>-</v>
      </c>
      <c r="N1390" s="81">
        <f>IF(Data!P1390,DATEDIF(Data!O1390,Data!P1390,"d"),0)</f>
        <v>0</v>
      </c>
      <c r="O1390" s="81">
        <f>IF(Data!M1390="CD",1,0)</f>
        <v>0</v>
      </c>
      <c r="P1390" s="81">
        <f>IF(Data!M1390="CD",0,1)</f>
        <v>1</v>
      </c>
      <c r="Q1390" s="81">
        <f>IF(Data!Q1390&gt;Data!P1390,DATEDIF(Data!P1390,Data!Q1390,"d"),0)</f>
        <v>0</v>
      </c>
      <c r="R1390" s="81">
        <f>IF(Data!R1390&gt;Data!Q1390,DATEDIF(Data!Q1390,Data!R1390,"d"),0)</f>
        <v>0</v>
      </c>
    </row>
    <row r="1391" spans="3:18" x14ac:dyDescent="0.2">
      <c r="C1391" s="80">
        <f t="shared" ca="1" si="45"/>
        <v>45959</v>
      </c>
      <c r="D1391" s="81">
        <f>IF(Data!I1391&lt;&gt;"",DATEDIF(Data!I1391,C1391,"m"),0)</f>
        <v>0</v>
      </c>
      <c r="E1391" s="82">
        <f t="shared" si="46"/>
        <v>0</v>
      </c>
      <c r="I1391" s="81" t="str">
        <f>CONCATENATE(Data!M1391,"-",Data!L1391)</f>
        <v>-</v>
      </c>
      <c r="N1391" s="81">
        <f>IF(Data!P1391,DATEDIF(Data!O1391,Data!P1391,"d"),0)</f>
        <v>0</v>
      </c>
      <c r="O1391" s="81">
        <f>IF(Data!M1391="CD",1,0)</f>
        <v>0</v>
      </c>
      <c r="P1391" s="81">
        <f>IF(Data!M1391="CD",0,1)</f>
        <v>1</v>
      </c>
      <c r="Q1391" s="81">
        <f>IF(Data!Q1391&gt;Data!P1391,DATEDIF(Data!P1391,Data!Q1391,"d"),0)</f>
        <v>0</v>
      </c>
      <c r="R1391" s="81">
        <f>IF(Data!R1391&gt;Data!Q1391,DATEDIF(Data!Q1391,Data!R1391,"d"),0)</f>
        <v>0</v>
      </c>
    </row>
    <row r="1392" spans="3:18" x14ac:dyDescent="0.2">
      <c r="C1392" s="80">
        <f t="shared" ca="1" si="45"/>
        <v>45959</v>
      </c>
      <c r="D1392" s="81">
        <f>IF(Data!I1392&lt;&gt;"",DATEDIF(Data!I1392,C1392,"m"),0)</f>
        <v>0</v>
      </c>
      <c r="E1392" s="82">
        <f t="shared" si="46"/>
        <v>0</v>
      </c>
      <c r="I1392" s="81" t="str">
        <f>CONCATENATE(Data!M1392,"-",Data!L1392)</f>
        <v>-</v>
      </c>
      <c r="N1392" s="81">
        <f>IF(Data!P1392,DATEDIF(Data!O1392,Data!P1392,"d"),0)</f>
        <v>0</v>
      </c>
      <c r="O1392" s="81">
        <f>IF(Data!M1392="CD",1,0)</f>
        <v>0</v>
      </c>
      <c r="P1392" s="81">
        <f>IF(Data!M1392="CD",0,1)</f>
        <v>1</v>
      </c>
      <c r="Q1392" s="81">
        <f>IF(Data!Q1392&gt;Data!P1392,DATEDIF(Data!P1392,Data!Q1392,"d"),0)</f>
        <v>0</v>
      </c>
      <c r="R1392" s="81">
        <f>IF(Data!R1392&gt;Data!Q1392,DATEDIF(Data!Q1392,Data!R1392,"d"),0)</f>
        <v>0</v>
      </c>
    </row>
    <row r="1393" spans="3:18" x14ac:dyDescent="0.2">
      <c r="C1393" s="80">
        <f t="shared" ca="1" si="45"/>
        <v>45959</v>
      </c>
      <c r="D1393" s="81">
        <f>IF(Data!I1393&lt;&gt;"",DATEDIF(Data!I1393,C1393,"m"),0)</f>
        <v>0</v>
      </c>
      <c r="E1393" s="82">
        <f t="shared" si="46"/>
        <v>0</v>
      </c>
      <c r="I1393" s="81" t="str">
        <f>CONCATENATE(Data!M1393,"-",Data!L1393)</f>
        <v>-</v>
      </c>
      <c r="N1393" s="81">
        <f>IF(Data!P1393,DATEDIF(Data!O1393,Data!P1393,"d"),0)</f>
        <v>0</v>
      </c>
      <c r="O1393" s="81">
        <f>IF(Data!M1393="CD",1,0)</f>
        <v>0</v>
      </c>
      <c r="P1393" s="81">
        <f>IF(Data!M1393="CD",0,1)</f>
        <v>1</v>
      </c>
      <c r="Q1393" s="81">
        <f>IF(Data!Q1393&gt;Data!P1393,DATEDIF(Data!P1393,Data!Q1393,"d"),0)</f>
        <v>0</v>
      </c>
      <c r="R1393" s="81">
        <f>IF(Data!R1393&gt;Data!Q1393,DATEDIF(Data!Q1393,Data!R1393,"d"),0)</f>
        <v>0</v>
      </c>
    </row>
    <row r="1394" spans="3:18" x14ac:dyDescent="0.2">
      <c r="C1394" s="80">
        <f t="shared" ca="1" si="45"/>
        <v>45959</v>
      </c>
      <c r="D1394" s="81">
        <f>IF(Data!I1394&lt;&gt;"",DATEDIF(Data!I1394,C1394,"m"),0)</f>
        <v>0</v>
      </c>
      <c r="E1394" s="82">
        <f t="shared" si="46"/>
        <v>0</v>
      </c>
      <c r="I1394" s="81" t="str">
        <f>CONCATENATE(Data!M1394,"-",Data!L1394)</f>
        <v>-</v>
      </c>
      <c r="N1394" s="81">
        <f>IF(Data!P1394,DATEDIF(Data!O1394,Data!P1394,"d"),0)</f>
        <v>0</v>
      </c>
      <c r="O1394" s="81">
        <f>IF(Data!M1394="CD",1,0)</f>
        <v>0</v>
      </c>
      <c r="P1394" s="81">
        <f>IF(Data!M1394="CD",0,1)</f>
        <v>1</v>
      </c>
      <c r="Q1394" s="81">
        <f>IF(Data!Q1394&gt;Data!P1394,DATEDIF(Data!P1394,Data!Q1394,"d"),0)</f>
        <v>0</v>
      </c>
      <c r="R1394" s="81">
        <f>IF(Data!R1394&gt;Data!Q1394,DATEDIF(Data!Q1394,Data!R1394,"d"),0)</f>
        <v>0</v>
      </c>
    </row>
    <row r="1395" spans="3:18" x14ac:dyDescent="0.2">
      <c r="C1395" s="80">
        <f t="shared" ca="1" si="45"/>
        <v>45959</v>
      </c>
      <c r="D1395" s="81">
        <f>IF(Data!I1395&lt;&gt;"",DATEDIF(Data!I1395,C1395,"m"),0)</f>
        <v>0</v>
      </c>
      <c r="E1395" s="82">
        <f t="shared" si="46"/>
        <v>0</v>
      </c>
      <c r="I1395" s="81" t="str">
        <f>CONCATENATE(Data!M1395,"-",Data!L1395)</f>
        <v>-</v>
      </c>
      <c r="N1395" s="81">
        <f>IF(Data!P1395,DATEDIF(Data!O1395,Data!P1395,"d"),0)</f>
        <v>0</v>
      </c>
      <c r="O1395" s="81">
        <f>IF(Data!M1395="CD",1,0)</f>
        <v>0</v>
      </c>
      <c r="P1395" s="81">
        <f>IF(Data!M1395="CD",0,1)</f>
        <v>1</v>
      </c>
      <c r="Q1395" s="81">
        <f>IF(Data!Q1395&gt;Data!P1395,DATEDIF(Data!P1395,Data!Q1395,"d"),0)</f>
        <v>0</v>
      </c>
      <c r="R1395" s="81">
        <f>IF(Data!R1395&gt;Data!Q1395,DATEDIF(Data!Q1395,Data!R1395,"d"),0)</f>
        <v>0</v>
      </c>
    </row>
    <row r="1396" spans="3:18" x14ac:dyDescent="0.2">
      <c r="C1396" s="80">
        <f t="shared" ca="1" si="45"/>
        <v>45959</v>
      </c>
      <c r="D1396" s="81">
        <f>IF(Data!I1396&lt;&gt;"",DATEDIF(Data!I1396,C1396,"m"),0)</f>
        <v>0</v>
      </c>
      <c r="E1396" s="82">
        <f t="shared" si="46"/>
        <v>0</v>
      </c>
      <c r="I1396" s="81" t="str">
        <f>CONCATENATE(Data!M1396,"-",Data!L1396)</f>
        <v>-</v>
      </c>
      <c r="N1396" s="81">
        <f>IF(Data!P1396,DATEDIF(Data!O1396,Data!P1396,"d"),0)</f>
        <v>0</v>
      </c>
      <c r="O1396" s="81">
        <f>IF(Data!M1396="CD",1,0)</f>
        <v>0</v>
      </c>
      <c r="P1396" s="81">
        <f>IF(Data!M1396="CD",0,1)</f>
        <v>1</v>
      </c>
      <c r="Q1396" s="81">
        <f>IF(Data!Q1396&gt;Data!P1396,DATEDIF(Data!P1396,Data!Q1396,"d"),0)</f>
        <v>0</v>
      </c>
      <c r="R1396" s="81">
        <f>IF(Data!R1396&gt;Data!Q1396,DATEDIF(Data!Q1396,Data!R1396,"d"),0)</f>
        <v>0</v>
      </c>
    </row>
    <row r="1397" spans="3:18" x14ac:dyDescent="0.2">
      <c r="C1397" s="80">
        <f t="shared" ca="1" si="45"/>
        <v>45959</v>
      </c>
      <c r="D1397" s="81">
        <f>IF(Data!I1397&lt;&gt;"",DATEDIF(Data!I1397,C1397,"m"),0)</f>
        <v>0</v>
      </c>
      <c r="E1397" s="82">
        <f t="shared" si="46"/>
        <v>0</v>
      </c>
      <c r="I1397" s="81" t="str">
        <f>CONCATENATE(Data!M1397,"-",Data!L1397)</f>
        <v>-</v>
      </c>
      <c r="N1397" s="81">
        <f>IF(Data!P1397,DATEDIF(Data!O1397,Data!P1397,"d"),0)</f>
        <v>0</v>
      </c>
      <c r="O1397" s="81">
        <f>IF(Data!M1397="CD",1,0)</f>
        <v>0</v>
      </c>
      <c r="P1397" s="81">
        <f>IF(Data!M1397="CD",0,1)</f>
        <v>1</v>
      </c>
      <c r="Q1397" s="81">
        <f>IF(Data!Q1397&gt;Data!P1397,DATEDIF(Data!P1397,Data!Q1397,"d"),0)</f>
        <v>0</v>
      </c>
      <c r="R1397" s="81">
        <f>IF(Data!R1397&gt;Data!Q1397,DATEDIF(Data!Q1397,Data!R1397,"d"),0)</f>
        <v>0</v>
      </c>
    </row>
    <row r="1398" spans="3:18" x14ac:dyDescent="0.2">
      <c r="C1398" s="80">
        <f t="shared" ca="1" si="45"/>
        <v>45959</v>
      </c>
      <c r="D1398" s="81">
        <f>IF(Data!I1398&lt;&gt;"",DATEDIF(Data!I1398,C1398,"m"),0)</f>
        <v>0</v>
      </c>
      <c r="E1398" s="82">
        <f t="shared" si="46"/>
        <v>0</v>
      </c>
      <c r="I1398" s="81" t="str">
        <f>CONCATENATE(Data!M1398,"-",Data!L1398)</f>
        <v>-</v>
      </c>
      <c r="N1398" s="81">
        <f>IF(Data!P1398,DATEDIF(Data!O1398,Data!P1398,"d"),0)</f>
        <v>0</v>
      </c>
      <c r="O1398" s="81">
        <f>IF(Data!M1398="CD",1,0)</f>
        <v>0</v>
      </c>
      <c r="P1398" s="81">
        <f>IF(Data!M1398="CD",0,1)</f>
        <v>1</v>
      </c>
      <c r="Q1398" s="81">
        <f>IF(Data!Q1398&gt;Data!P1398,DATEDIF(Data!P1398,Data!Q1398,"d"),0)</f>
        <v>0</v>
      </c>
      <c r="R1398" s="81">
        <f>IF(Data!R1398&gt;Data!Q1398,DATEDIF(Data!Q1398,Data!R1398,"d"),0)</f>
        <v>0</v>
      </c>
    </row>
    <row r="1399" spans="3:18" x14ac:dyDescent="0.2">
      <c r="C1399" s="80">
        <f t="shared" ca="1" si="45"/>
        <v>45959</v>
      </c>
      <c r="D1399" s="81">
        <f>IF(Data!I1399&lt;&gt;"",DATEDIF(Data!I1399,C1399,"m"),0)</f>
        <v>0</v>
      </c>
      <c r="E1399" s="82">
        <f t="shared" si="46"/>
        <v>0</v>
      </c>
      <c r="I1399" s="81" t="str">
        <f>CONCATENATE(Data!M1399,"-",Data!L1399)</f>
        <v>-</v>
      </c>
      <c r="N1399" s="81">
        <f>IF(Data!P1399,DATEDIF(Data!O1399,Data!P1399,"d"),0)</f>
        <v>0</v>
      </c>
      <c r="O1399" s="81">
        <f>IF(Data!M1399="CD",1,0)</f>
        <v>0</v>
      </c>
      <c r="P1399" s="81">
        <f>IF(Data!M1399="CD",0,1)</f>
        <v>1</v>
      </c>
      <c r="Q1399" s="81">
        <f>IF(Data!Q1399&gt;Data!P1399,DATEDIF(Data!P1399,Data!Q1399,"d"),0)</f>
        <v>0</v>
      </c>
      <c r="R1399" s="81">
        <f>IF(Data!R1399&gt;Data!Q1399,DATEDIF(Data!Q1399,Data!R1399,"d"),0)</f>
        <v>0</v>
      </c>
    </row>
    <row r="1400" spans="3:18" x14ac:dyDescent="0.2">
      <c r="C1400" s="80">
        <f t="shared" ca="1" si="45"/>
        <v>45959</v>
      </c>
      <c r="D1400" s="81">
        <f>IF(Data!I1400&lt;&gt;"",DATEDIF(Data!I1400,C1400,"m"),0)</f>
        <v>0</v>
      </c>
      <c r="E1400" s="82">
        <f t="shared" si="46"/>
        <v>0</v>
      </c>
      <c r="I1400" s="81" t="str">
        <f>CONCATENATE(Data!M1400,"-",Data!L1400)</f>
        <v>-</v>
      </c>
      <c r="N1400" s="81">
        <f>IF(Data!P1400,DATEDIF(Data!O1400,Data!P1400,"d"),0)</f>
        <v>0</v>
      </c>
      <c r="O1400" s="81">
        <f>IF(Data!M1400="CD",1,0)</f>
        <v>0</v>
      </c>
      <c r="P1400" s="81">
        <f>IF(Data!M1400="CD",0,1)</f>
        <v>1</v>
      </c>
      <c r="Q1400" s="81">
        <f>IF(Data!Q1400&gt;Data!P1400,DATEDIF(Data!P1400,Data!Q1400,"d"),0)</f>
        <v>0</v>
      </c>
      <c r="R1400" s="81">
        <f>IF(Data!R1400&gt;Data!Q1400,DATEDIF(Data!Q1400,Data!R1400,"d"),0)</f>
        <v>0</v>
      </c>
    </row>
    <row r="1401" spans="3:18" x14ac:dyDescent="0.2">
      <c r="C1401" s="80">
        <f t="shared" ca="1" si="45"/>
        <v>45959</v>
      </c>
      <c r="D1401" s="81">
        <f>IF(Data!I1401&lt;&gt;"",DATEDIF(Data!I1401,C1401,"m"),0)</f>
        <v>0</v>
      </c>
      <c r="E1401" s="82">
        <f t="shared" si="46"/>
        <v>0</v>
      </c>
      <c r="I1401" s="81" t="str">
        <f>CONCATENATE(Data!M1401,"-",Data!L1401)</f>
        <v>-</v>
      </c>
      <c r="N1401" s="81">
        <f>IF(Data!P1401,DATEDIF(Data!O1401,Data!P1401,"d"),0)</f>
        <v>0</v>
      </c>
      <c r="O1401" s="81">
        <f>IF(Data!M1401="CD",1,0)</f>
        <v>0</v>
      </c>
      <c r="P1401" s="81">
        <f>IF(Data!M1401="CD",0,1)</f>
        <v>1</v>
      </c>
      <c r="Q1401" s="81">
        <f>IF(Data!Q1401&gt;Data!P1401,DATEDIF(Data!P1401,Data!Q1401,"d"),0)</f>
        <v>0</v>
      </c>
      <c r="R1401" s="81">
        <f>IF(Data!R1401&gt;Data!Q1401,DATEDIF(Data!Q1401,Data!R1401,"d"),0)</f>
        <v>0</v>
      </c>
    </row>
    <row r="1402" spans="3:18" x14ac:dyDescent="0.2">
      <c r="C1402" s="80">
        <f t="shared" ca="1" si="45"/>
        <v>45959</v>
      </c>
      <c r="D1402" s="81">
        <f>IF(Data!I1402&lt;&gt;"",DATEDIF(Data!I1402,C1402,"m"),0)</f>
        <v>0</v>
      </c>
      <c r="E1402" s="82">
        <f t="shared" si="46"/>
        <v>0</v>
      </c>
      <c r="I1402" s="81" t="str">
        <f>CONCATENATE(Data!M1402,"-",Data!L1402)</f>
        <v>-</v>
      </c>
      <c r="N1402" s="81">
        <f>IF(Data!P1402,DATEDIF(Data!O1402,Data!P1402,"d"),0)</f>
        <v>0</v>
      </c>
      <c r="O1402" s="81">
        <f>IF(Data!M1402="CD",1,0)</f>
        <v>0</v>
      </c>
      <c r="P1402" s="81">
        <f>IF(Data!M1402="CD",0,1)</f>
        <v>1</v>
      </c>
      <c r="Q1402" s="81">
        <f>IF(Data!Q1402&gt;Data!P1402,DATEDIF(Data!P1402,Data!Q1402,"d"),0)</f>
        <v>0</v>
      </c>
      <c r="R1402" s="81">
        <f>IF(Data!R1402&gt;Data!Q1402,DATEDIF(Data!Q1402,Data!R1402,"d"),0)</f>
        <v>0</v>
      </c>
    </row>
    <row r="1403" spans="3:18" x14ac:dyDescent="0.2">
      <c r="C1403" s="80">
        <f t="shared" ca="1" si="45"/>
        <v>45959</v>
      </c>
      <c r="D1403" s="81">
        <f>IF(Data!I1403&lt;&gt;"",DATEDIF(Data!I1403,C1403,"m"),0)</f>
        <v>0</v>
      </c>
      <c r="E1403" s="82">
        <f t="shared" si="46"/>
        <v>0</v>
      </c>
      <c r="I1403" s="81" t="str">
        <f>CONCATENATE(Data!M1403,"-",Data!L1403)</f>
        <v>-</v>
      </c>
      <c r="N1403" s="81">
        <f>IF(Data!P1403,DATEDIF(Data!O1403,Data!P1403,"d"),0)</f>
        <v>0</v>
      </c>
      <c r="O1403" s="81">
        <f>IF(Data!M1403="CD",1,0)</f>
        <v>0</v>
      </c>
      <c r="P1403" s="81">
        <f>IF(Data!M1403="CD",0,1)</f>
        <v>1</v>
      </c>
      <c r="Q1403" s="81">
        <f>IF(Data!Q1403&gt;Data!P1403,DATEDIF(Data!P1403,Data!Q1403,"d"),0)</f>
        <v>0</v>
      </c>
      <c r="R1403" s="81">
        <f>IF(Data!R1403&gt;Data!Q1403,DATEDIF(Data!Q1403,Data!R1403,"d"),0)</f>
        <v>0</v>
      </c>
    </row>
    <row r="1404" spans="3:18" x14ac:dyDescent="0.2">
      <c r="C1404" s="80">
        <f t="shared" ca="1" si="45"/>
        <v>45959</v>
      </c>
      <c r="D1404" s="81">
        <f>IF(Data!I1404&lt;&gt;"",DATEDIF(Data!I1404,C1404,"m"),0)</f>
        <v>0</v>
      </c>
      <c r="E1404" s="82">
        <f t="shared" si="46"/>
        <v>0</v>
      </c>
      <c r="I1404" s="81" t="str">
        <f>CONCATENATE(Data!M1404,"-",Data!L1404)</f>
        <v>-</v>
      </c>
      <c r="N1404" s="81">
        <f>IF(Data!P1404,DATEDIF(Data!O1404,Data!P1404,"d"),0)</f>
        <v>0</v>
      </c>
      <c r="O1404" s="81">
        <f>IF(Data!M1404="CD",1,0)</f>
        <v>0</v>
      </c>
      <c r="P1404" s="81">
        <f>IF(Data!M1404="CD",0,1)</f>
        <v>1</v>
      </c>
      <c r="Q1404" s="81">
        <f>IF(Data!Q1404&gt;Data!P1404,DATEDIF(Data!P1404,Data!Q1404,"d"),0)</f>
        <v>0</v>
      </c>
      <c r="R1404" s="81">
        <f>IF(Data!R1404&gt;Data!Q1404,DATEDIF(Data!Q1404,Data!R1404,"d"),0)</f>
        <v>0</v>
      </c>
    </row>
    <row r="1405" spans="3:18" x14ac:dyDescent="0.2">
      <c r="C1405" s="80">
        <f t="shared" ca="1" si="45"/>
        <v>45959</v>
      </c>
      <c r="D1405" s="81">
        <f>IF(Data!I1405&lt;&gt;"",DATEDIF(Data!I1405,C1405,"m"),0)</f>
        <v>0</v>
      </c>
      <c r="E1405" s="82">
        <f t="shared" si="46"/>
        <v>0</v>
      </c>
      <c r="I1405" s="81" t="str">
        <f>CONCATENATE(Data!M1405,"-",Data!L1405)</f>
        <v>-</v>
      </c>
      <c r="N1405" s="81">
        <f>IF(Data!P1405,DATEDIF(Data!O1405,Data!P1405,"d"),0)</f>
        <v>0</v>
      </c>
      <c r="O1405" s="81">
        <f>IF(Data!M1405="CD",1,0)</f>
        <v>0</v>
      </c>
      <c r="P1405" s="81">
        <f>IF(Data!M1405="CD",0,1)</f>
        <v>1</v>
      </c>
      <c r="Q1405" s="81">
        <f>IF(Data!Q1405&gt;Data!P1405,DATEDIF(Data!P1405,Data!Q1405,"d"),0)</f>
        <v>0</v>
      </c>
      <c r="R1405" s="81">
        <f>IF(Data!R1405&gt;Data!Q1405,DATEDIF(Data!Q1405,Data!R1405,"d"),0)</f>
        <v>0</v>
      </c>
    </row>
    <row r="1406" spans="3:18" x14ac:dyDescent="0.2">
      <c r="C1406" s="80">
        <f t="shared" ca="1" si="45"/>
        <v>45959</v>
      </c>
      <c r="D1406" s="81">
        <f>IF(Data!I1406&lt;&gt;"",DATEDIF(Data!I1406,C1406,"m"),0)</f>
        <v>0</v>
      </c>
      <c r="E1406" s="82">
        <f t="shared" si="46"/>
        <v>0</v>
      </c>
      <c r="I1406" s="81" t="str">
        <f>CONCATENATE(Data!M1406,"-",Data!L1406)</f>
        <v>-</v>
      </c>
      <c r="N1406" s="81">
        <f>IF(Data!P1406,DATEDIF(Data!O1406,Data!P1406,"d"),0)</f>
        <v>0</v>
      </c>
      <c r="O1406" s="81">
        <f>IF(Data!M1406="CD",1,0)</f>
        <v>0</v>
      </c>
      <c r="P1406" s="81">
        <f>IF(Data!M1406="CD",0,1)</f>
        <v>1</v>
      </c>
      <c r="Q1406" s="81">
        <f>IF(Data!Q1406&gt;Data!P1406,DATEDIF(Data!P1406,Data!Q1406,"d"),0)</f>
        <v>0</v>
      </c>
      <c r="R1406" s="81">
        <f>IF(Data!R1406&gt;Data!Q1406,DATEDIF(Data!Q1406,Data!R1406,"d"),0)</f>
        <v>0</v>
      </c>
    </row>
    <row r="1407" spans="3:18" x14ac:dyDescent="0.2">
      <c r="C1407" s="80">
        <f t="shared" ca="1" si="45"/>
        <v>45959</v>
      </c>
      <c r="D1407" s="81">
        <f>IF(Data!I1407&lt;&gt;"",DATEDIF(Data!I1407,C1407,"m"),0)</f>
        <v>0</v>
      </c>
      <c r="E1407" s="82">
        <f t="shared" si="46"/>
        <v>0</v>
      </c>
      <c r="I1407" s="81" t="str">
        <f>CONCATENATE(Data!M1407,"-",Data!L1407)</f>
        <v>-</v>
      </c>
      <c r="N1407" s="81">
        <f>IF(Data!P1407,DATEDIF(Data!O1407,Data!P1407,"d"),0)</f>
        <v>0</v>
      </c>
      <c r="O1407" s="81">
        <f>IF(Data!M1407="CD",1,0)</f>
        <v>0</v>
      </c>
      <c r="P1407" s="81">
        <f>IF(Data!M1407="CD",0,1)</f>
        <v>1</v>
      </c>
      <c r="Q1407" s="81">
        <f>IF(Data!Q1407&gt;Data!P1407,DATEDIF(Data!P1407,Data!Q1407,"d"),0)</f>
        <v>0</v>
      </c>
      <c r="R1407" s="81">
        <f>IF(Data!R1407&gt;Data!Q1407,DATEDIF(Data!Q1407,Data!R1407,"d"),0)</f>
        <v>0</v>
      </c>
    </row>
    <row r="1408" spans="3:18" x14ac:dyDescent="0.2">
      <c r="C1408" s="80">
        <f t="shared" ca="1" si="45"/>
        <v>45959</v>
      </c>
      <c r="D1408" s="81">
        <f>IF(Data!I1408&lt;&gt;"",DATEDIF(Data!I1408,C1408,"m"),0)</f>
        <v>0</v>
      </c>
      <c r="E1408" s="82">
        <f t="shared" si="46"/>
        <v>0</v>
      </c>
      <c r="I1408" s="81" t="str">
        <f>CONCATENATE(Data!M1408,"-",Data!L1408)</f>
        <v>-</v>
      </c>
      <c r="N1408" s="81">
        <f>IF(Data!P1408,DATEDIF(Data!O1408,Data!P1408,"d"),0)</f>
        <v>0</v>
      </c>
      <c r="O1408" s="81">
        <f>IF(Data!M1408="CD",1,0)</f>
        <v>0</v>
      </c>
      <c r="P1408" s="81">
        <f>IF(Data!M1408="CD",0,1)</f>
        <v>1</v>
      </c>
      <c r="Q1408" s="81">
        <f>IF(Data!Q1408&gt;Data!P1408,DATEDIF(Data!P1408,Data!Q1408,"d"),0)</f>
        <v>0</v>
      </c>
      <c r="R1408" s="81">
        <f>IF(Data!R1408&gt;Data!Q1408,DATEDIF(Data!Q1408,Data!R1408,"d"),0)</f>
        <v>0</v>
      </c>
    </row>
    <row r="1409" spans="3:18" x14ac:dyDescent="0.2">
      <c r="C1409" s="80">
        <f t="shared" ca="1" si="45"/>
        <v>45959</v>
      </c>
      <c r="D1409" s="81">
        <f>IF(Data!I1409&lt;&gt;"",DATEDIF(Data!I1409,C1409,"m"),0)</f>
        <v>0</v>
      </c>
      <c r="E1409" s="82">
        <f t="shared" si="46"/>
        <v>0</v>
      </c>
      <c r="I1409" s="81" t="str">
        <f>CONCATENATE(Data!M1409,"-",Data!L1409)</f>
        <v>-</v>
      </c>
      <c r="N1409" s="81">
        <f>IF(Data!P1409,DATEDIF(Data!O1409,Data!P1409,"d"),0)</f>
        <v>0</v>
      </c>
      <c r="O1409" s="81">
        <f>IF(Data!M1409="CD",1,0)</f>
        <v>0</v>
      </c>
      <c r="P1409" s="81">
        <f>IF(Data!M1409="CD",0,1)</f>
        <v>1</v>
      </c>
      <c r="Q1409" s="81">
        <f>IF(Data!Q1409&gt;Data!P1409,DATEDIF(Data!P1409,Data!Q1409,"d"),0)</f>
        <v>0</v>
      </c>
      <c r="R1409" s="81">
        <f>IF(Data!R1409&gt;Data!Q1409,DATEDIF(Data!Q1409,Data!R1409,"d"),0)</f>
        <v>0</v>
      </c>
    </row>
    <row r="1410" spans="3:18" x14ac:dyDescent="0.2">
      <c r="C1410" s="80">
        <f t="shared" ref="C1410:C1473" ca="1" si="47">TODAY()</f>
        <v>45959</v>
      </c>
      <c r="D1410" s="81">
        <f>IF(Data!I1410&lt;&gt;"",DATEDIF(Data!I1410,C1410,"m"),0)</f>
        <v>0</v>
      </c>
      <c r="E1410" s="82">
        <f t="shared" si="46"/>
        <v>0</v>
      </c>
      <c r="I1410" s="81" t="str">
        <f>CONCATENATE(Data!M1410,"-",Data!L1410)</f>
        <v>-</v>
      </c>
      <c r="N1410" s="81">
        <f>IF(Data!P1410,DATEDIF(Data!O1410,Data!P1410,"d"),0)</f>
        <v>0</v>
      </c>
      <c r="O1410" s="81">
        <f>IF(Data!M1410="CD",1,0)</f>
        <v>0</v>
      </c>
      <c r="P1410" s="81">
        <f>IF(Data!M1410="CD",0,1)</f>
        <v>1</v>
      </c>
      <c r="Q1410" s="81">
        <f>IF(Data!Q1410&gt;Data!P1410,DATEDIF(Data!P1410,Data!Q1410,"d"),0)</f>
        <v>0</v>
      </c>
      <c r="R1410" s="81">
        <f>IF(Data!R1410&gt;Data!Q1410,DATEDIF(Data!Q1410,Data!R1410,"d"),0)</f>
        <v>0</v>
      </c>
    </row>
    <row r="1411" spans="3:18" x14ac:dyDescent="0.2">
      <c r="C1411" s="80">
        <f t="shared" ca="1" si="47"/>
        <v>45959</v>
      </c>
      <c r="D1411" s="81">
        <f>IF(Data!I1411&lt;&gt;"",DATEDIF(Data!I1411,C1411,"m"),0)</f>
        <v>0</v>
      </c>
      <c r="E1411" s="82">
        <f t="shared" si="46"/>
        <v>0</v>
      </c>
      <c r="I1411" s="81" t="str">
        <f>CONCATENATE(Data!M1411,"-",Data!L1411)</f>
        <v>-</v>
      </c>
      <c r="N1411" s="81">
        <f>IF(Data!P1411,DATEDIF(Data!O1411,Data!P1411,"d"),0)</f>
        <v>0</v>
      </c>
      <c r="O1411" s="81">
        <f>IF(Data!M1411="CD",1,0)</f>
        <v>0</v>
      </c>
      <c r="P1411" s="81">
        <f>IF(Data!M1411="CD",0,1)</f>
        <v>1</v>
      </c>
      <c r="Q1411" s="81">
        <f>IF(Data!Q1411&gt;Data!P1411,DATEDIF(Data!P1411,Data!Q1411,"d"),0)</f>
        <v>0</v>
      </c>
      <c r="R1411" s="81">
        <f>IF(Data!R1411&gt;Data!Q1411,DATEDIF(Data!Q1411,Data!R1411,"d"),0)</f>
        <v>0</v>
      </c>
    </row>
    <row r="1412" spans="3:18" x14ac:dyDescent="0.2">
      <c r="C1412" s="80">
        <f t="shared" ca="1" si="47"/>
        <v>45959</v>
      </c>
      <c r="D1412" s="81">
        <f>IF(Data!I1412&lt;&gt;"",DATEDIF(Data!I1412,C1412,"m"),0)</f>
        <v>0</v>
      </c>
      <c r="E1412" s="82">
        <f t="shared" si="46"/>
        <v>0</v>
      </c>
      <c r="I1412" s="81" t="str">
        <f>CONCATENATE(Data!M1412,"-",Data!L1412)</f>
        <v>-</v>
      </c>
      <c r="N1412" s="81">
        <f>IF(Data!P1412,DATEDIF(Data!O1412,Data!P1412,"d"),0)</f>
        <v>0</v>
      </c>
      <c r="O1412" s="81">
        <f>IF(Data!M1412="CD",1,0)</f>
        <v>0</v>
      </c>
      <c r="P1412" s="81">
        <f>IF(Data!M1412="CD",0,1)</f>
        <v>1</v>
      </c>
      <c r="Q1412" s="81">
        <f>IF(Data!Q1412&gt;Data!P1412,DATEDIF(Data!P1412,Data!Q1412,"d"),0)</f>
        <v>0</v>
      </c>
      <c r="R1412" s="81">
        <f>IF(Data!R1412&gt;Data!Q1412,DATEDIF(Data!Q1412,Data!R1412,"d"),0)</f>
        <v>0</v>
      </c>
    </row>
    <row r="1413" spans="3:18" x14ac:dyDescent="0.2">
      <c r="C1413" s="80">
        <f t="shared" ca="1" si="47"/>
        <v>45959</v>
      </c>
      <c r="D1413" s="81">
        <f>IF(Data!I1413&lt;&gt;"",DATEDIF(Data!I1413,C1413,"m"),0)</f>
        <v>0</v>
      </c>
      <c r="E1413" s="82">
        <f t="shared" si="46"/>
        <v>0</v>
      </c>
      <c r="I1413" s="81" t="str">
        <f>CONCATENATE(Data!M1413,"-",Data!L1413)</f>
        <v>-</v>
      </c>
      <c r="N1413" s="81">
        <f>IF(Data!P1413,DATEDIF(Data!O1413,Data!P1413,"d"),0)</f>
        <v>0</v>
      </c>
      <c r="O1413" s="81">
        <f>IF(Data!M1413="CD",1,0)</f>
        <v>0</v>
      </c>
      <c r="P1413" s="81">
        <f>IF(Data!M1413="CD",0,1)</f>
        <v>1</v>
      </c>
      <c r="Q1413" s="81">
        <f>IF(Data!Q1413&gt;Data!P1413,DATEDIF(Data!P1413,Data!Q1413,"d"),0)</f>
        <v>0</v>
      </c>
      <c r="R1413" s="81">
        <f>IF(Data!R1413&gt;Data!Q1413,DATEDIF(Data!Q1413,Data!R1413,"d"),0)</f>
        <v>0</v>
      </c>
    </row>
    <row r="1414" spans="3:18" x14ac:dyDescent="0.2">
      <c r="C1414" s="80">
        <f t="shared" ca="1" si="47"/>
        <v>45959</v>
      </c>
      <c r="D1414" s="81">
        <f>IF(Data!I1414&lt;&gt;"",DATEDIF(Data!I1414,C1414,"m"),0)</f>
        <v>0</v>
      </c>
      <c r="E1414" s="82">
        <f t="shared" si="46"/>
        <v>0</v>
      </c>
      <c r="I1414" s="81" t="str">
        <f>CONCATENATE(Data!M1414,"-",Data!L1414)</f>
        <v>-</v>
      </c>
      <c r="N1414" s="81">
        <f>IF(Data!P1414,DATEDIF(Data!O1414,Data!P1414,"d"),0)</f>
        <v>0</v>
      </c>
      <c r="O1414" s="81">
        <f>IF(Data!M1414="CD",1,0)</f>
        <v>0</v>
      </c>
      <c r="P1414" s="81">
        <f>IF(Data!M1414="CD",0,1)</f>
        <v>1</v>
      </c>
      <c r="Q1414" s="81">
        <f>IF(Data!Q1414&gt;Data!P1414,DATEDIF(Data!P1414,Data!Q1414,"d"),0)</f>
        <v>0</v>
      </c>
      <c r="R1414" s="81">
        <f>IF(Data!R1414&gt;Data!Q1414,DATEDIF(Data!Q1414,Data!R1414,"d"),0)</f>
        <v>0</v>
      </c>
    </row>
    <row r="1415" spans="3:18" x14ac:dyDescent="0.2">
      <c r="C1415" s="80">
        <f t="shared" ca="1" si="47"/>
        <v>45959</v>
      </c>
      <c r="D1415" s="81">
        <f>IF(Data!I1415&lt;&gt;"",DATEDIF(Data!I1415,C1415,"m"),0)</f>
        <v>0</v>
      </c>
      <c r="E1415" s="82">
        <f t="shared" si="46"/>
        <v>0</v>
      </c>
      <c r="I1415" s="81" t="str">
        <f>CONCATENATE(Data!M1415,"-",Data!L1415)</f>
        <v>-</v>
      </c>
      <c r="N1415" s="81">
        <f>IF(Data!P1415,DATEDIF(Data!O1415,Data!P1415,"d"),0)</f>
        <v>0</v>
      </c>
      <c r="O1415" s="81">
        <f>IF(Data!M1415="CD",1,0)</f>
        <v>0</v>
      </c>
      <c r="P1415" s="81">
        <f>IF(Data!M1415="CD",0,1)</f>
        <v>1</v>
      </c>
      <c r="Q1415" s="81">
        <f>IF(Data!Q1415&gt;Data!P1415,DATEDIF(Data!P1415,Data!Q1415,"d"),0)</f>
        <v>0</v>
      </c>
      <c r="R1415" s="81">
        <f>IF(Data!R1415&gt;Data!Q1415,DATEDIF(Data!Q1415,Data!R1415,"d"),0)</f>
        <v>0</v>
      </c>
    </row>
    <row r="1416" spans="3:18" x14ac:dyDescent="0.2">
      <c r="C1416" s="80">
        <f t="shared" ca="1" si="47"/>
        <v>45959</v>
      </c>
      <c r="D1416" s="81">
        <f>IF(Data!I1416&lt;&gt;"",DATEDIF(Data!I1416,C1416,"m"),0)</f>
        <v>0</v>
      </c>
      <c r="E1416" s="82">
        <f t="shared" si="46"/>
        <v>0</v>
      </c>
      <c r="I1416" s="81" t="str">
        <f>CONCATENATE(Data!M1416,"-",Data!L1416)</f>
        <v>-</v>
      </c>
      <c r="N1416" s="81">
        <f>IF(Data!P1416,DATEDIF(Data!O1416,Data!P1416,"d"),0)</f>
        <v>0</v>
      </c>
      <c r="O1416" s="81">
        <f>IF(Data!M1416="CD",1,0)</f>
        <v>0</v>
      </c>
      <c r="P1416" s="81">
        <f>IF(Data!M1416="CD",0,1)</f>
        <v>1</v>
      </c>
      <c r="Q1416" s="81">
        <f>IF(Data!Q1416&gt;Data!P1416,DATEDIF(Data!P1416,Data!Q1416,"d"),0)</f>
        <v>0</v>
      </c>
      <c r="R1416" s="81">
        <f>IF(Data!R1416&gt;Data!Q1416,DATEDIF(Data!Q1416,Data!R1416,"d"),0)</f>
        <v>0</v>
      </c>
    </row>
    <row r="1417" spans="3:18" x14ac:dyDescent="0.2">
      <c r="C1417" s="80">
        <f t="shared" ca="1" si="47"/>
        <v>45959</v>
      </c>
      <c r="D1417" s="81">
        <f>IF(Data!I1417&lt;&gt;"",DATEDIF(Data!I1417,C1417,"m"),0)</f>
        <v>0</v>
      </c>
      <c r="E1417" s="82">
        <f t="shared" si="46"/>
        <v>0</v>
      </c>
      <c r="I1417" s="81" t="str">
        <f>CONCATENATE(Data!M1417,"-",Data!L1417)</f>
        <v>-</v>
      </c>
      <c r="N1417" s="81">
        <f>IF(Data!P1417,DATEDIF(Data!O1417,Data!P1417,"d"),0)</f>
        <v>0</v>
      </c>
      <c r="O1417" s="81">
        <f>IF(Data!M1417="CD",1,0)</f>
        <v>0</v>
      </c>
      <c r="P1417" s="81">
        <f>IF(Data!M1417="CD",0,1)</f>
        <v>1</v>
      </c>
      <c r="Q1417" s="81">
        <f>IF(Data!Q1417&gt;Data!P1417,DATEDIF(Data!P1417,Data!Q1417,"d"),0)</f>
        <v>0</v>
      </c>
      <c r="R1417" s="81">
        <f>IF(Data!R1417&gt;Data!Q1417,DATEDIF(Data!Q1417,Data!R1417,"d"),0)</f>
        <v>0</v>
      </c>
    </row>
    <row r="1418" spans="3:18" x14ac:dyDescent="0.2">
      <c r="C1418" s="80">
        <f t="shared" ca="1" si="47"/>
        <v>45959</v>
      </c>
      <c r="D1418" s="81">
        <f>IF(Data!I1418&lt;&gt;"",DATEDIF(Data!I1418,C1418,"m"),0)</f>
        <v>0</v>
      </c>
      <c r="E1418" s="82">
        <f t="shared" si="46"/>
        <v>0</v>
      </c>
      <c r="I1418" s="81" t="str">
        <f>CONCATENATE(Data!M1418,"-",Data!L1418)</f>
        <v>-</v>
      </c>
      <c r="N1418" s="81">
        <f>IF(Data!P1418,DATEDIF(Data!O1418,Data!P1418,"d"),0)</f>
        <v>0</v>
      </c>
      <c r="O1418" s="81">
        <f>IF(Data!M1418="CD",1,0)</f>
        <v>0</v>
      </c>
      <c r="P1418" s="81">
        <f>IF(Data!M1418="CD",0,1)</f>
        <v>1</v>
      </c>
      <c r="Q1418" s="81">
        <f>IF(Data!Q1418&gt;Data!P1418,DATEDIF(Data!P1418,Data!Q1418,"d"),0)</f>
        <v>0</v>
      </c>
      <c r="R1418" s="81">
        <f>IF(Data!R1418&gt;Data!Q1418,DATEDIF(Data!Q1418,Data!R1418,"d"),0)</f>
        <v>0</v>
      </c>
    </row>
    <row r="1419" spans="3:18" x14ac:dyDescent="0.2">
      <c r="C1419" s="80">
        <f t="shared" ca="1" si="47"/>
        <v>45959</v>
      </c>
      <c r="D1419" s="81">
        <f>IF(Data!I1419&lt;&gt;"",DATEDIF(Data!I1419,C1419,"m"),0)</f>
        <v>0</v>
      </c>
      <c r="E1419" s="82">
        <f t="shared" si="46"/>
        <v>0</v>
      </c>
      <c r="I1419" s="81" t="str">
        <f>CONCATENATE(Data!M1419,"-",Data!L1419)</f>
        <v>-</v>
      </c>
      <c r="N1419" s="81">
        <f>IF(Data!P1419,DATEDIF(Data!O1419,Data!P1419,"d"),0)</f>
        <v>0</v>
      </c>
      <c r="O1419" s="81">
        <f>IF(Data!M1419="CD",1,0)</f>
        <v>0</v>
      </c>
      <c r="P1419" s="81">
        <f>IF(Data!M1419="CD",0,1)</f>
        <v>1</v>
      </c>
      <c r="Q1419" s="81">
        <f>IF(Data!Q1419&gt;Data!P1419,DATEDIF(Data!P1419,Data!Q1419,"d"),0)</f>
        <v>0</v>
      </c>
      <c r="R1419" s="81">
        <f>IF(Data!R1419&gt;Data!Q1419,DATEDIF(Data!Q1419,Data!R1419,"d"),0)</f>
        <v>0</v>
      </c>
    </row>
    <row r="1420" spans="3:18" x14ac:dyDescent="0.2">
      <c r="C1420" s="80">
        <f t="shared" ca="1" si="47"/>
        <v>45959</v>
      </c>
      <c r="D1420" s="81">
        <f>IF(Data!I1420&lt;&gt;"",DATEDIF(Data!I1420,C1420,"m"),0)</f>
        <v>0</v>
      </c>
      <c r="E1420" s="82">
        <f t="shared" si="46"/>
        <v>0</v>
      </c>
      <c r="I1420" s="81" t="str">
        <f>CONCATENATE(Data!M1420,"-",Data!L1420)</f>
        <v>-</v>
      </c>
      <c r="N1420" s="81">
        <f>IF(Data!P1420,DATEDIF(Data!O1420,Data!P1420,"d"),0)</f>
        <v>0</v>
      </c>
      <c r="O1420" s="81">
        <f>IF(Data!M1420="CD",1,0)</f>
        <v>0</v>
      </c>
      <c r="P1420" s="81">
        <f>IF(Data!M1420="CD",0,1)</f>
        <v>1</v>
      </c>
      <c r="Q1420" s="81">
        <f>IF(Data!Q1420&gt;Data!P1420,DATEDIF(Data!P1420,Data!Q1420,"d"),0)</f>
        <v>0</v>
      </c>
      <c r="R1420" s="81">
        <f>IF(Data!R1420&gt;Data!Q1420,DATEDIF(Data!Q1420,Data!R1420,"d"),0)</f>
        <v>0</v>
      </c>
    </row>
    <row r="1421" spans="3:18" x14ac:dyDescent="0.2">
      <c r="C1421" s="80">
        <f t="shared" ca="1" si="47"/>
        <v>45959</v>
      </c>
      <c r="D1421" s="81">
        <f>IF(Data!I1421&lt;&gt;"",DATEDIF(Data!I1421,C1421,"m"),0)</f>
        <v>0</v>
      </c>
      <c r="E1421" s="82">
        <f t="shared" si="46"/>
        <v>0</v>
      </c>
      <c r="I1421" s="81" t="str">
        <f>CONCATENATE(Data!M1421,"-",Data!L1421)</f>
        <v>-</v>
      </c>
      <c r="N1421" s="81">
        <f>IF(Data!P1421,DATEDIF(Data!O1421,Data!P1421,"d"),0)</f>
        <v>0</v>
      </c>
      <c r="O1421" s="81">
        <f>IF(Data!M1421="CD",1,0)</f>
        <v>0</v>
      </c>
      <c r="P1421" s="81">
        <f>IF(Data!M1421="CD",0,1)</f>
        <v>1</v>
      </c>
      <c r="Q1421" s="81">
        <f>IF(Data!Q1421&gt;Data!P1421,DATEDIF(Data!P1421,Data!Q1421,"d"),0)</f>
        <v>0</v>
      </c>
      <c r="R1421" s="81">
        <f>IF(Data!R1421&gt;Data!Q1421,DATEDIF(Data!Q1421,Data!R1421,"d"),0)</f>
        <v>0</v>
      </c>
    </row>
    <row r="1422" spans="3:18" x14ac:dyDescent="0.2">
      <c r="C1422" s="80">
        <f t="shared" ca="1" si="47"/>
        <v>45959</v>
      </c>
      <c r="D1422" s="81">
        <f>IF(Data!I1422&lt;&gt;"",DATEDIF(Data!I1422,C1422,"m"),0)</f>
        <v>0</v>
      </c>
      <c r="E1422" s="82">
        <f t="shared" si="46"/>
        <v>0</v>
      </c>
      <c r="I1422" s="81" t="str">
        <f>CONCATENATE(Data!M1422,"-",Data!L1422)</f>
        <v>-</v>
      </c>
      <c r="N1422" s="81">
        <f>IF(Data!P1422,DATEDIF(Data!O1422,Data!P1422,"d"),0)</f>
        <v>0</v>
      </c>
      <c r="O1422" s="81">
        <f>IF(Data!M1422="CD",1,0)</f>
        <v>0</v>
      </c>
      <c r="P1422" s="81">
        <f>IF(Data!M1422="CD",0,1)</f>
        <v>1</v>
      </c>
      <c r="Q1422" s="81">
        <f>IF(Data!Q1422&gt;Data!P1422,DATEDIF(Data!P1422,Data!Q1422,"d"),0)</f>
        <v>0</v>
      </c>
      <c r="R1422" s="81">
        <f>IF(Data!R1422&gt;Data!Q1422,DATEDIF(Data!Q1422,Data!R1422,"d"),0)</f>
        <v>0</v>
      </c>
    </row>
    <row r="1423" spans="3:18" x14ac:dyDescent="0.2">
      <c r="C1423" s="80">
        <f t="shared" ca="1" si="47"/>
        <v>45959</v>
      </c>
      <c r="D1423" s="81">
        <f>IF(Data!I1423&lt;&gt;"",DATEDIF(Data!I1423,C1423,"m"),0)</f>
        <v>0</v>
      </c>
      <c r="E1423" s="82">
        <f t="shared" si="46"/>
        <v>0</v>
      </c>
      <c r="I1423" s="81" t="str">
        <f>CONCATENATE(Data!M1423,"-",Data!L1423)</f>
        <v>-</v>
      </c>
      <c r="N1423" s="81">
        <f>IF(Data!P1423,DATEDIF(Data!O1423,Data!P1423,"d"),0)</f>
        <v>0</v>
      </c>
      <c r="O1423" s="81">
        <f>IF(Data!M1423="CD",1,0)</f>
        <v>0</v>
      </c>
      <c r="P1423" s="81">
        <f>IF(Data!M1423="CD",0,1)</f>
        <v>1</v>
      </c>
      <c r="Q1423" s="81">
        <f>IF(Data!Q1423&gt;Data!P1423,DATEDIF(Data!P1423,Data!Q1423,"d"),0)</f>
        <v>0</v>
      </c>
      <c r="R1423" s="81">
        <f>IF(Data!R1423&gt;Data!Q1423,DATEDIF(Data!Q1423,Data!R1423,"d"),0)</f>
        <v>0</v>
      </c>
    </row>
    <row r="1424" spans="3:18" x14ac:dyDescent="0.2">
      <c r="C1424" s="80">
        <f t="shared" ca="1" si="47"/>
        <v>45959</v>
      </c>
      <c r="D1424" s="81">
        <f>IF(Data!I1424&lt;&gt;"",DATEDIF(Data!I1424,C1424,"m"),0)</f>
        <v>0</v>
      </c>
      <c r="E1424" s="82">
        <f t="shared" si="46"/>
        <v>0</v>
      </c>
      <c r="I1424" s="81" t="str">
        <f>CONCATENATE(Data!M1424,"-",Data!L1424)</f>
        <v>-</v>
      </c>
      <c r="N1424" s="81">
        <f>IF(Data!P1424,DATEDIF(Data!O1424,Data!P1424,"d"),0)</f>
        <v>0</v>
      </c>
      <c r="O1424" s="81">
        <f>IF(Data!M1424="CD",1,0)</f>
        <v>0</v>
      </c>
      <c r="P1424" s="81">
        <f>IF(Data!M1424="CD",0,1)</f>
        <v>1</v>
      </c>
      <c r="Q1424" s="81">
        <f>IF(Data!Q1424&gt;Data!P1424,DATEDIF(Data!P1424,Data!Q1424,"d"),0)</f>
        <v>0</v>
      </c>
      <c r="R1424" s="81">
        <f>IF(Data!R1424&gt;Data!Q1424,DATEDIF(Data!Q1424,Data!R1424,"d"),0)</f>
        <v>0</v>
      </c>
    </row>
    <row r="1425" spans="3:18" x14ac:dyDescent="0.2">
      <c r="C1425" s="80">
        <f t="shared" ca="1" si="47"/>
        <v>45959</v>
      </c>
      <c r="D1425" s="81">
        <f>IF(Data!I1425&lt;&gt;"",DATEDIF(Data!I1425,C1425,"m"),0)</f>
        <v>0</v>
      </c>
      <c r="E1425" s="82">
        <f t="shared" si="46"/>
        <v>0</v>
      </c>
      <c r="I1425" s="81" t="str">
        <f>CONCATENATE(Data!M1425,"-",Data!L1425)</f>
        <v>-</v>
      </c>
      <c r="N1425" s="81">
        <f>IF(Data!P1425,DATEDIF(Data!O1425,Data!P1425,"d"),0)</f>
        <v>0</v>
      </c>
      <c r="O1425" s="81">
        <f>IF(Data!M1425="CD",1,0)</f>
        <v>0</v>
      </c>
      <c r="P1425" s="81">
        <f>IF(Data!M1425="CD",0,1)</f>
        <v>1</v>
      </c>
      <c r="Q1425" s="81">
        <f>IF(Data!Q1425&gt;Data!P1425,DATEDIF(Data!P1425,Data!Q1425,"d"),0)</f>
        <v>0</v>
      </c>
      <c r="R1425" s="81">
        <f>IF(Data!R1425&gt;Data!Q1425,DATEDIF(Data!Q1425,Data!R1425,"d"),0)</f>
        <v>0</v>
      </c>
    </row>
    <row r="1426" spans="3:18" x14ac:dyDescent="0.2">
      <c r="C1426" s="80">
        <f t="shared" ca="1" si="47"/>
        <v>45959</v>
      </c>
      <c r="D1426" s="81">
        <f>IF(Data!I1426&lt;&gt;"",DATEDIF(Data!I1426,C1426,"m"),0)</f>
        <v>0</v>
      </c>
      <c r="E1426" s="82">
        <f t="shared" si="46"/>
        <v>0</v>
      </c>
      <c r="I1426" s="81" t="str">
        <f>CONCATENATE(Data!M1426,"-",Data!L1426)</f>
        <v>-</v>
      </c>
      <c r="N1426" s="81">
        <f>IF(Data!P1426,DATEDIF(Data!O1426,Data!P1426,"d"),0)</f>
        <v>0</v>
      </c>
      <c r="O1426" s="81">
        <f>IF(Data!M1426="CD",1,0)</f>
        <v>0</v>
      </c>
      <c r="P1426" s="81">
        <f>IF(Data!M1426="CD",0,1)</f>
        <v>1</v>
      </c>
      <c r="Q1426" s="81">
        <f>IF(Data!Q1426&gt;Data!P1426,DATEDIF(Data!P1426,Data!Q1426,"d"),0)</f>
        <v>0</v>
      </c>
      <c r="R1426" s="81">
        <f>IF(Data!R1426&gt;Data!Q1426,DATEDIF(Data!Q1426,Data!R1426,"d"),0)</f>
        <v>0</v>
      </c>
    </row>
    <row r="1427" spans="3:18" x14ac:dyDescent="0.2">
      <c r="C1427" s="80">
        <f t="shared" ca="1" si="47"/>
        <v>45959</v>
      </c>
      <c r="D1427" s="81">
        <f>IF(Data!I1427&lt;&gt;"",DATEDIF(Data!I1427,C1427,"m"),0)</f>
        <v>0</v>
      </c>
      <c r="E1427" s="82">
        <f t="shared" si="46"/>
        <v>0</v>
      </c>
      <c r="I1427" s="81" t="str">
        <f>CONCATENATE(Data!M1427,"-",Data!L1427)</f>
        <v>-</v>
      </c>
      <c r="N1427" s="81">
        <f>IF(Data!P1427,DATEDIF(Data!O1427,Data!P1427,"d"),0)</f>
        <v>0</v>
      </c>
      <c r="O1427" s="81">
        <f>IF(Data!M1427="CD",1,0)</f>
        <v>0</v>
      </c>
      <c r="P1427" s="81">
        <f>IF(Data!M1427="CD",0,1)</f>
        <v>1</v>
      </c>
      <c r="Q1427" s="81">
        <f>IF(Data!Q1427&gt;Data!P1427,DATEDIF(Data!P1427,Data!Q1427,"d"),0)</f>
        <v>0</v>
      </c>
      <c r="R1427" s="81">
        <f>IF(Data!R1427&gt;Data!Q1427,DATEDIF(Data!Q1427,Data!R1427,"d"),0)</f>
        <v>0</v>
      </c>
    </row>
    <row r="1428" spans="3:18" x14ac:dyDescent="0.2">
      <c r="C1428" s="80">
        <f t="shared" ca="1" si="47"/>
        <v>45959</v>
      </c>
      <c r="D1428" s="81">
        <f>IF(Data!I1428&lt;&gt;"",DATEDIF(Data!I1428,C1428,"m"),0)</f>
        <v>0</v>
      </c>
      <c r="E1428" s="82">
        <f t="shared" si="46"/>
        <v>0</v>
      </c>
      <c r="I1428" s="81" t="str">
        <f>CONCATENATE(Data!M1428,"-",Data!L1428)</f>
        <v>-</v>
      </c>
      <c r="N1428" s="81">
        <f>IF(Data!P1428,DATEDIF(Data!O1428,Data!P1428,"d"),0)</f>
        <v>0</v>
      </c>
      <c r="O1428" s="81">
        <f>IF(Data!M1428="CD",1,0)</f>
        <v>0</v>
      </c>
      <c r="P1428" s="81">
        <f>IF(Data!M1428="CD",0,1)</f>
        <v>1</v>
      </c>
      <c r="Q1428" s="81">
        <f>IF(Data!Q1428&gt;Data!P1428,DATEDIF(Data!P1428,Data!Q1428,"d"),0)</f>
        <v>0</v>
      </c>
      <c r="R1428" s="81">
        <f>IF(Data!R1428&gt;Data!Q1428,DATEDIF(Data!Q1428,Data!R1428,"d"),0)</f>
        <v>0</v>
      </c>
    </row>
    <row r="1429" spans="3:18" x14ac:dyDescent="0.2">
      <c r="C1429" s="80">
        <f t="shared" ca="1" si="47"/>
        <v>45959</v>
      </c>
      <c r="D1429" s="81">
        <f>IF(Data!I1429&lt;&gt;"",DATEDIF(Data!I1429,C1429,"m"),0)</f>
        <v>0</v>
      </c>
      <c r="E1429" s="82">
        <f t="shared" si="46"/>
        <v>0</v>
      </c>
      <c r="I1429" s="81" t="str">
        <f>CONCATENATE(Data!M1429,"-",Data!L1429)</f>
        <v>-</v>
      </c>
      <c r="N1429" s="81">
        <f>IF(Data!P1429,DATEDIF(Data!O1429,Data!P1429,"d"),0)</f>
        <v>0</v>
      </c>
      <c r="O1429" s="81">
        <f>IF(Data!M1429="CD",1,0)</f>
        <v>0</v>
      </c>
      <c r="P1429" s="81">
        <f>IF(Data!M1429="CD",0,1)</f>
        <v>1</v>
      </c>
      <c r="Q1429" s="81">
        <f>IF(Data!Q1429&gt;Data!P1429,DATEDIF(Data!P1429,Data!Q1429,"d"),0)</f>
        <v>0</v>
      </c>
      <c r="R1429" s="81">
        <f>IF(Data!R1429&gt;Data!Q1429,DATEDIF(Data!Q1429,Data!R1429,"d"),0)</f>
        <v>0</v>
      </c>
    </row>
    <row r="1430" spans="3:18" x14ac:dyDescent="0.2">
      <c r="C1430" s="80">
        <f t="shared" ca="1" si="47"/>
        <v>45959</v>
      </c>
      <c r="D1430" s="81">
        <f>IF(Data!I1430&lt;&gt;"",DATEDIF(Data!I1430,C1430,"m"),0)</f>
        <v>0</v>
      </c>
      <c r="E1430" s="82">
        <f t="shared" si="46"/>
        <v>0</v>
      </c>
      <c r="I1430" s="81" t="str">
        <f>CONCATENATE(Data!M1430,"-",Data!L1430)</f>
        <v>-</v>
      </c>
      <c r="N1430" s="81">
        <f>IF(Data!P1430,DATEDIF(Data!O1430,Data!P1430,"d"),0)</f>
        <v>0</v>
      </c>
      <c r="O1430" s="81">
        <f>IF(Data!M1430="CD",1,0)</f>
        <v>0</v>
      </c>
      <c r="P1430" s="81">
        <f>IF(Data!M1430="CD",0,1)</f>
        <v>1</v>
      </c>
      <c r="Q1430" s="81">
        <f>IF(Data!Q1430&gt;Data!P1430,DATEDIF(Data!P1430,Data!Q1430,"d"),0)</f>
        <v>0</v>
      </c>
      <c r="R1430" s="81">
        <f>IF(Data!R1430&gt;Data!Q1430,DATEDIF(Data!Q1430,Data!R1430,"d"),0)</f>
        <v>0</v>
      </c>
    </row>
    <row r="1431" spans="3:18" x14ac:dyDescent="0.2">
      <c r="C1431" s="80">
        <f t="shared" ca="1" si="47"/>
        <v>45959</v>
      </c>
      <c r="D1431" s="81">
        <f>IF(Data!I1431&lt;&gt;"",DATEDIF(Data!I1431,C1431,"m"),0)</f>
        <v>0</v>
      </c>
      <c r="E1431" s="82">
        <f t="shared" si="46"/>
        <v>0</v>
      </c>
      <c r="I1431" s="81" t="str">
        <f>CONCATENATE(Data!M1431,"-",Data!L1431)</f>
        <v>-</v>
      </c>
      <c r="N1431" s="81">
        <f>IF(Data!P1431,DATEDIF(Data!O1431,Data!P1431,"d"),0)</f>
        <v>0</v>
      </c>
      <c r="O1431" s="81">
        <f>IF(Data!M1431="CD",1,0)</f>
        <v>0</v>
      </c>
      <c r="P1431" s="81">
        <f>IF(Data!M1431="CD",0,1)</f>
        <v>1</v>
      </c>
      <c r="Q1431" s="81">
        <f>IF(Data!Q1431&gt;Data!P1431,DATEDIF(Data!P1431,Data!Q1431,"d"),0)</f>
        <v>0</v>
      </c>
      <c r="R1431" s="81">
        <f>IF(Data!R1431&gt;Data!Q1431,DATEDIF(Data!Q1431,Data!R1431,"d"),0)</f>
        <v>0</v>
      </c>
    </row>
    <row r="1432" spans="3:18" x14ac:dyDescent="0.2">
      <c r="C1432" s="80">
        <f t="shared" ca="1" si="47"/>
        <v>45959</v>
      </c>
      <c r="D1432" s="81">
        <f>IF(Data!I1432&lt;&gt;"",DATEDIF(Data!I1432,C1432,"m"),0)</f>
        <v>0</v>
      </c>
      <c r="E1432" s="82">
        <f t="shared" si="46"/>
        <v>0</v>
      </c>
      <c r="I1432" s="81" t="str">
        <f>CONCATENATE(Data!M1432,"-",Data!L1432)</f>
        <v>-</v>
      </c>
      <c r="N1432" s="81">
        <f>IF(Data!P1432,DATEDIF(Data!O1432,Data!P1432,"d"),0)</f>
        <v>0</v>
      </c>
      <c r="O1432" s="81">
        <f>IF(Data!M1432="CD",1,0)</f>
        <v>0</v>
      </c>
      <c r="P1432" s="81">
        <f>IF(Data!M1432="CD",0,1)</f>
        <v>1</v>
      </c>
      <c r="Q1432" s="81">
        <f>IF(Data!Q1432&gt;Data!P1432,DATEDIF(Data!P1432,Data!Q1432,"d"),0)</f>
        <v>0</v>
      </c>
      <c r="R1432" s="81">
        <f>IF(Data!R1432&gt;Data!Q1432,DATEDIF(Data!Q1432,Data!R1432,"d"),0)</f>
        <v>0</v>
      </c>
    </row>
    <row r="1433" spans="3:18" x14ac:dyDescent="0.2">
      <c r="C1433" s="80">
        <f t="shared" ca="1" si="47"/>
        <v>45959</v>
      </c>
      <c r="D1433" s="81">
        <f>IF(Data!I1433&lt;&gt;"",DATEDIF(Data!I1433,C1433,"m"),0)</f>
        <v>0</v>
      </c>
      <c r="E1433" s="82">
        <f t="shared" si="46"/>
        <v>0</v>
      </c>
      <c r="I1433" s="81" t="str">
        <f>CONCATENATE(Data!M1433,"-",Data!L1433)</f>
        <v>-</v>
      </c>
      <c r="N1433" s="81">
        <f>IF(Data!P1433,DATEDIF(Data!O1433,Data!P1433,"d"),0)</f>
        <v>0</v>
      </c>
      <c r="O1433" s="81">
        <f>IF(Data!M1433="CD",1,0)</f>
        <v>0</v>
      </c>
      <c r="P1433" s="81">
        <f>IF(Data!M1433="CD",0,1)</f>
        <v>1</v>
      </c>
      <c r="Q1433" s="81">
        <f>IF(Data!Q1433&gt;Data!P1433,DATEDIF(Data!P1433,Data!Q1433,"d"),0)</f>
        <v>0</v>
      </c>
      <c r="R1433" s="81">
        <f>IF(Data!R1433&gt;Data!Q1433,DATEDIF(Data!Q1433,Data!R1433,"d"),0)</f>
        <v>0</v>
      </c>
    </row>
    <row r="1434" spans="3:18" x14ac:dyDescent="0.2">
      <c r="C1434" s="80">
        <f t="shared" ca="1" si="47"/>
        <v>45959</v>
      </c>
      <c r="D1434" s="81">
        <f>IF(Data!I1434&lt;&gt;"",DATEDIF(Data!I1434,C1434,"m"),0)</f>
        <v>0</v>
      </c>
      <c r="E1434" s="82">
        <f t="shared" si="46"/>
        <v>0</v>
      </c>
      <c r="I1434" s="81" t="str">
        <f>CONCATENATE(Data!M1434,"-",Data!L1434)</f>
        <v>-</v>
      </c>
      <c r="N1434" s="81">
        <f>IF(Data!P1434,DATEDIF(Data!O1434,Data!P1434,"d"),0)</f>
        <v>0</v>
      </c>
      <c r="O1434" s="81">
        <f>IF(Data!M1434="CD",1,0)</f>
        <v>0</v>
      </c>
      <c r="P1434" s="81">
        <f>IF(Data!M1434="CD",0,1)</f>
        <v>1</v>
      </c>
      <c r="Q1434" s="81">
        <f>IF(Data!Q1434&gt;Data!P1434,DATEDIF(Data!P1434,Data!Q1434,"d"),0)</f>
        <v>0</v>
      </c>
      <c r="R1434" s="81">
        <f>IF(Data!R1434&gt;Data!Q1434,DATEDIF(Data!Q1434,Data!R1434,"d"),0)</f>
        <v>0</v>
      </c>
    </row>
    <row r="1435" spans="3:18" x14ac:dyDescent="0.2">
      <c r="C1435" s="80">
        <f t="shared" ca="1" si="47"/>
        <v>45959</v>
      </c>
      <c r="D1435" s="81">
        <f>IF(Data!I1435&lt;&gt;"",DATEDIF(Data!I1435,C1435,"m"),0)</f>
        <v>0</v>
      </c>
      <c r="E1435" s="82">
        <f t="shared" si="46"/>
        <v>0</v>
      </c>
      <c r="I1435" s="81" t="str">
        <f>CONCATENATE(Data!M1435,"-",Data!L1435)</f>
        <v>-</v>
      </c>
      <c r="N1435" s="81">
        <f>IF(Data!P1435,DATEDIF(Data!O1435,Data!P1435,"d"),0)</f>
        <v>0</v>
      </c>
      <c r="O1435" s="81">
        <f>IF(Data!M1435="CD",1,0)</f>
        <v>0</v>
      </c>
      <c r="P1435" s="81">
        <f>IF(Data!M1435="CD",0,1)</f>
        <v>1</v>
      </c>
      <c r="Q1435" s="81">
        <f>IF(Data!Q1435&gt;Data!P1435,DATEDIF(Data!P1435,Data!Q1435,"d"),0)</f>
        <v>0</v>
      </c>
      <c r="R1435" s="81">
        <f>IF(Data!R1435&gt;Data!Q1435,DATEDIF(Data!Q1435,Data!R1435,"d"),0)</f>
        <v>0</v>
      </c>
    </row>
    <row r="1436" spans="3:18" x14ac:dyDescent="0.2">
      <c r="C1436" s="80">
        <f t="shared" ca="1" si="47"/>
        <v>45959</v>
      </c>
      <c r="D1436" s="81">
        <f>IF(Data!I1436&lt;&gt;"",DATEDIF(Data!I1436,C1436,"m"),0)</f>
        <v>0</v>
      </c>
      <c r="E1436" s="82">
        <f t="shared" si="46"/>
        <v>0</v>
      </c>
      <c r="I1436" s="81" t="str">
        <f>CONCATENATE(Data!M1436,"-",Data!L1436)</f>
        <v>-</v>
      </c>
      <c r="N1436" s="81">
        <f>IF(Data!P1436,DATEDIF(Data!O1436,Data!P1436,"d"),0)</f>
        <v>0</v>
      </c>
      <c r="O1436" s="81">
        <f>IF(Data!M1436="CD",1,0)</f>
        <v>0</v>
      </c>
      <c r="P1436" s="81">
        <f>IF(Data!M1436="CD",0,1)</f>
        <v>1</v>
      </c>
      <c r="Q1436" s="81">
        <f>IF(Data!Q1436&gt;Data!P1436,DATEDIF(Data!P1436,Data!Q1436,"d"),0)</f>
        <v>0</v>
      </c>
      <c r="R1436" s="81">
        <f>IF(Data!R1436&gt;Data!Q1436,DATEDIF(Data!Q1436,Data!R1436,"d"),0)</f>
        <v>0</v>
      </c>
    </row>
    <row r="1437" spans="3:18" x14ac:dyDescent="0.2">
      <c r="C1437" s="80">
        <f t="shared" ca="1" si="47"/>
        <v>45959</v>
      </c>
      <c r="D1437" s="81">
        <f>IF(Data!I1437&lt;&gt;"",DATEDIF(Data!I1437,C1437,"m"),0)</f>
        <v>0</v>
      </c>
      <c r="E1437" s="82">
        <f t="shared" si="46"/>
        <v>0</v>
      </c>
      <c r="I1437" s="81" t="str">
        <f>CONCATENATE(Data!M1437,"-",Data!L1437)</f>
        <v>-</v>
      </c>
      <c r="N1437" s="81">
        <f>IF(Data!P1437,DATEDIF(Data!O1437,Data!P1437,"d"),0)</f>
        <v>0</v>
      </c>
      <c r="O1437" s="81">
        <f>IF(Data!M1437="CD",1,0)</f>
        <v>0</v>
      </c>
      <c r="P1437" s="81">
        <f>IF(Data!M1437="CD",0,1)</f>
        <v>1</v>
      </c>
      <c r="Q1437" s="81">
        <f>IF(Data!Q1437&gt;Data!P1437,DATEDIF(Data!P1437,Data!Q1437,"d"),0)</f>
        <v>0</v>
      </c>
      <c r="R1437" s="81">
        <f>IF(Data!R1437&gt;Data!Q1437,DATEDIF(Data!Q1437,Data!R1437,"d"),0)</f>
        <v>0</v>
      </c>
    </row>
    <row r="1438" spans="3:18" x14ac:dyDescent="0.2">
      <c r="C1438" s="80">
        <f t="shared" ca="1" si="47"/>
        <v>45959</v>
      </c>
      <c r="D1438" s="81">
        <f>IF(Data!I1438&lt;&gt;"",DATEDIF(Data!I1438,C1438,"m"),0)</f>
        <v>0</v>
      </c>
      <c r="E1438" s="82">
        <f t="shared" si="46"/>
        <v>0</v>
      </c>
      <c r="I1438" s="81" t="str">
        <f>CONCATENATE(Data!M1438,"-",Data!L1438)</f>
        <v>-</v>
      </c>
      <c r="N1438" s="81">
        <f>IF(Data!P1438,DATEDIF(Data!O1438,Data!P1438,"d"),0)</f>
        <v>0</v>
      </c>
      <c r="O1438" s="81">
        <f>IF(Data!M1438="CD",1,0)</f>
        <v>0</v>
      </c>
      <c r="P1438" s="81">
        <f>IF(Data!M1438="CD",0,1)</f>
        <v>1</v>
      </c>
      <c r="Q1438" s="81">
        <f>IF(Data!Q1438&gt;Data!P1438,DATEDIF(Data!P1438,Data!Q1438,"d"),0)</f>
        <v>0</v>
      </c>
      <c r="R1438" s="81">
        <f>IF(Data!R1438&gt;Data!Q1438,DATEDIF(Data!Q1438,Data!R1438,"d"),0)</f>
        <v>0</v>
      </c>
    </row>
    <row r="1439" spans="3:18" x14ac:dyDescent="0.2">
      <c r="C1439" s="80">
        <f t="shared" ca="1" si="47"/>
        <v>45959</v>
      </c>
      <c r="D1439" s="81">
        <f>IF(Data!I1439&lt;&gt;"",DATEDIF(Data!I1439,C1439,"m"),0)</f>
        <v>0</v>
      </c>
      <c r="E1439" s="82">
        <f t="shared" si="46"/>
        <v>0</v>
      </c>
      <c r="I1439" s="81" t="str">
        <f>CONCATENATE(Data!M1439,"-",Data!L1439)</f>
        <v>-</v>
      </c>
      <c r="N1439" s="81">
        <f>IF(Data!P1439,DATEDIF(Data!O1439,Data!P1439,"d"),0)</f>
        <v>0</v>
      </c>
      <c r="O1439" s="81">
        <f>IF(Data!M1439="CD",1,0)</f>
        <v>0</v>
      </c>
      <c r="P1439" s="81">
        <f>IF(Data!M1439="CD",0,1)</f>
        <v>1</v>
      </c>
      <c r="Q1439" s="81">
        <f>IF(Data!Q1439&gt;Data!P1439,DATEDIF(Data!P1439,Data!Q1439,"d"),0)</f>
        <v>0</v>
      </c>
      <c r="R1439" s="81">
        <f>IF(Data!R1439&gt;Data!Q1439,DATEDIF(Data!Q1439,Data!R1439,"d"),0)</f>
        <v>0</v>
      </c>
    </row>
    <row r="1440" spans="3:18" x14ac:dyDescent="0.2">
      <c r="C1440" s="80">
        <f t="shared" ca="1" si="47"/>
        <v>45959</v>
      </c>
      <c r="D1440" s="81">
        <f>IF(Data!I1440&lt;&gt;"",DATEDIF(Data!I1440,C1440,"m"),0)</f>
        <v>0</v>
      </c>
      <c r="E1440" s="82">
        <f t="shared" si="46"/>
        <v>0</v>
      </c>
      <c r="I1440" s="81" t="str">
        <f>CONCATENATE(Data!M1440,"-",Data!L1440)</f>
        <v>-</v>
      </c>
      <c r="N1440" s="81">
        <f>IF(Data!P1440,DATEDIF(Data!O1440,Data!P1440,"d"),0)</f>
        <v>0</v>
      </c>
      <c r="O1440" s="81">
        <f>IF(Data!M1440="CD",1,0)</f>
        <v>0</v>
      </c>
      <c r="P1440" s="81">
        <f>IF(Data!M1440="CD",0,1)</f>
        <v>1</v>
      </c>
      <c r="Q1440" s="81">
        <f>IF(Data!Q1440&gt;Data!P1440,DATEDIF(Data!P1440,Data!Q1440,"d"),0)</f>
        <v>0</v>
      </c>
      <c r="R1440" s="81">
        <f>IF(Data!R1440&gt;Data!Q1440,DATEDIF(Data!Q1440,Data!R1440,"d"),0)</f>
        <v>0</v>
      </c>
    </row>
    <row r="1441" spans="3:18" x14ac:dyDescent="0.2">
      <c r="C1441" s="80">
        <f t="shared" ca="1" si="47"/>
        <v>45959</v>
      </c>
      <c r="D1441" s="81">
        <f>IF(Data!I1441&lt;&gt;"",DATEDIF(Data!I1441,C1441,"m"),0)</f>
        <v>0</v>
      </c>
      <c r="E1441" s="82">
        <f t="shared" si="46"/>
        <v>0</v>
      </c>
      <c r="I1441" s="81" t="str">
        <f>CONCATENATE(Data!M1441,"-",Data!L1441)</f>
        <v>-</v>
      </c>
      <c r="N1441" s="81">
        <f>IF(Data!P1441,DATEDIF(Data!O1441,Data!P1441,"d"),0)</f>
        <v>0</v>
      </c>
      <c r="O1441" s="81">
        <f>IF(Data!M1441="CD",1,0)</f>
        <v>0</v>
      </c>
      <c r="P1441" s="81">
        <f>IF(Data!M1441="CD",0,1)</f>
        <v>1</v>
      </c>
      <c r="Q1441" s="81">
        <f>IF(Data!Q1441&gt;Data!P1441,DATEDIF(Data!P1441,Data!Q1441,"d"),0)</f>
        <v>0</v>
      </c>
      <c r="R1441" s="81">
        <f>IF(Data!R1441&gt;Data!Q1441,DATEDIF(Data!Q1441,Data!R1441,"d"),0)</f>
        <v>0</v>
      </c>
    </row>
    <row r="1442" spans="3:18" x14ac:dyDescent="0.2">
      <c r="C1442" s="80">
        <f t="shared" ca="1" si="47"/>
        <v>45959</v>
      </c>
      <c r="D1442" s="81">
        <f>IF(Data!I1442&lt;&gt;"",DATEDIF(Data!I1442,C1442,"m"),0)</f>
        <v>0</v>
      </c>
      <c r="E1442" s="82">
        <f t="shared" si="46"/>
        <v>0</v>
      </c>
      <c r="I1442" s="81" t="str">
        <f>CONCATENATE(Data!M1442,"-",Data!L1442)</f>
        <v>-</v>
      </c>
      <c r="N1442" s="81">
        <f>IF(Data!P1442,DATEDIF(Data!O1442,Data!P1442,"d"),0)</f>
        <v>0</v>
      </c>
      <c r="O1442" s="81">
        <f>IF(Data!M1442="CD",1,0)</f>
        <v>0</v>
      </c>
      <c r="P1442" s="81">
        <f>IF(Data!M1442="CD",0,1)</f>
        <v>1</v>
      </c>
      <c r="Q1442" s="81">
        <f>IF(Data!Q1442&gt;Data!P1442,DATEDIF(Data!P1442,Data!Q1442,"d"),0)</f>
        <v>0</v>
      </c>
      <c r="R1442" s="81">
        <f>IF(Data!R1442&gt;Data!Q1442,DATEDIF(Data!Q1442,Data!R1442,"d"),0)</f>
        <v>0</v>
      </c>
    </row>
    <row r="1443" spans="3:18" x14ac:dyDescent="0.2">
      <c r="C1443" s="80">
        <f t="shared" ca="1" si="47"/>
        <v>45959</v>
      </c>
      <c r="D1443" s="81">
        <f>IF(Data!I1443&lt;&gt;"",DATEDIF(Data!I1443,C1443,"m"),0)</f>
        <v>0</v>
      </c>
      <c r="E1443" s="82">
        <f t="shared" si="46"/>
        <v>0</v>
      </c>
      <c r="I1443" s="81" t="str">
        <f>CONCATENATE(Data!M1443,"-",Data!L1443)</f>
        <v>-</v>
      </c>
      <c r="N1443" s="81">
        <f>IF(Data!P1443,DATEDIF(Data!O1443,Data!P1443,"d"),0)</f>
        <v>0</v>
      </c>
      <c r="O1443" s="81">
        <f>IF(Data!M1443="CD",1,0)</f>
        <v>0</v>
      </c>
      <c r="P1443" s="81">
        <f>IF(Data!M1443="CD",0,1)</f>
        <v>1</v>
      </c>
      <c r="Q1443" s="81">
        <f>IF(Data!Q1443&gt;Data!P1443,DATEDIF(Data!P1443,Data!Q1443,"d"),0)</f>
        <v>0</v>
      </c>
      <c r="R1443" s="81">
        <f>IF(Data!R1443&gt;Data!Q1443,DATEDIF(Data!Q1443,Data!R1443,"d"),0)</f>
        <v>0</v>
      </c>
    </row>
    <row r="1444" spans="3:18" x14ac:dyDescent="0.2">
      <c r="C1444" s="80">
        <f t="shared" ca="1" si="47"/>
        <v>45959</v>
      </c>
      <c r="D1444" s="81">
        <f>IF(Data!I1444&lt;&gt;"",DATEDIF(Data!I1444,C1444,"m"),0)</f>
        <v>0</v>
      </c>
      <c r="E1444" s="82">
        <f t="shared" si="46"/>
        <v>0</v>
      </c>
      <c r="I1444" s="81" t="str">
        <f>CONCATENATE(Data!M1444,"-",Data!L1444)</f>
        <v>-</v>
      </c>
      <c r="N1444" s="81">
        <f>IF(Data!P1444,DATEDIF(Data!O1444,Data!P1444,"d"),0)</f>
        <v>0</v>
      </c>
      <c r="O1444" s="81">
        <f>IF(Data!M1444="CD",1,0)</f>
        <v>0</v>
      </c>
      <c r="P1444" s="81">
        <f>IF(Data!M1444="CD",0,1)</f>
        <v>1</v>
      </c>
      <c r="Q1444" s="81">
        <f>IF(Data!Q1444&gt;Data!P1444,DATEDIF(Data!P1444,Data!Q1444,"d"),0)</f>
        <v>0</v>
      </c>
      <c r="R1444" s="81">
        <f>IF(Data!R1444&gt;Data!Q1444,DATEDIF(Data!Q1444,Data!R1444,"d"),0)</f>
        <v>0</v>
      </c>
    </row>
    <row r="1445" spans="3:18" x14ac:dyDescent="0.2">
      <c r="C1445" s="80">
        <f t="shared" ca="1" si="47"/>
        <v>45959</v>
      </c>
      <c r="D1445" s="81">
        <f>IF(Data!I1445&lt;&gt;"",DATEDIF(Data!I1445,C1445,"m"),0)</f>
        <v>0</v>
      </c>
      <c r="E1445" s="82">
        <f t="shared" si="46"/>
        <v>0</v>
      </c>
      <c r="I1445" s="81" t="str">
        <f>CONCATENATE(Data!M1445,"-",Data!L1445)</f>
        <v>-</v>
      </c>
      <c r="N1445" s="81">
        <f>IF(Data!P1445,DATEDIF(Data!O1445,Data!P1445,"d"),0)</f>
        <v>0</v>
      </c>
      <c r="O1445" s="81">
        <f>IF(Data!M1445="CD",1,0)</f>
        <v>0</v>
      </c>
      <c r="P1445" s="81">
        <f>IF(Data!M1445="CD",0,1)</f>
        <v>1</v>
      </c>
      <c r="Q1445" s="81">
        <f>IF(Data!Q1445&gt;Data!P1445,DATEDIF(Data!P1445,Data!Q1445,"d"),0)</f>
        <v>0</v>
      </c>
      <c r="R1445" s="81">
        <f>IF(Data!R1445&gt;Data!Q1445,DATEDIF(Data!Q1445,Data!R1445,"d"),0)</f>
        <v>0</v>
      </c>
    </row>
    <row r="1446" spans="3:18" x14ac:dyDescent="0.2">
      <c r="C1446" s="80">
        <f t="shared" ca="1" si="47"/>
        <v>45959</v>
      </c>
      <c r="D1446" s="81">
        <f>IF(Data!I1446&lt;&gt;"",DATEDIF(Data!I1446,C1446,"m"),0)</f>
        <v>0</v>
      </c>
      <c r="E1446" s="82">
        <f t="shared" si="46"/>
        <v>0</v>
      </c>
      <c r="I1446" s="81" t="str">
        <f>CONCATENATE(Data!M1446,"-",Data!L1446)</f>
        <v>-</v>
      </c>
      <c r="N1446" s="81">
        <f>IF(Data!P1446,DATEDIF(Data!O1446,Data!P1446,"d"),0)</f>
        <v>0</v>
      </c>
      <c r="O1446" s="81">
        <f>IF(Data!M1446="CD",1,0)</f>
        <v>0</v>
      </c>
      <c r="P1446" s="81">
        <f>IF(Data!M1446="CD",0,1)</f>
        <v>1</v>
      </c>
      <c r="Q1446" s="81">
        <f>IF(Data!Q1446&gt;Data!P1446,DATEDIF(Data!P1446,Data!Q1446,"d"),0)</f>
        <v>0</v>
      </c>
      <c r="R1446" s="81">
        <f>IF(Data!R1446&gt;Data!Q1446,DATEDIF(Data!Q1446,Data!R1446,"d"),0)</f>
        <v>0</v>
      </c>
    </row>
    <row r="1447" spans="3:18" x14ac:dyDescent="0.2">
      <c r="C1447" s="80">
        <f t="shared" ca="1" si="47"/>
        <v>45959</v>
      </c>
      <c r="D1447" s="81">
        <f>IF(Data!I1447&lt;&gt;"",DATEDIF(Data!I1447,C1447,"m"),0)</f>
        <v>0</v>
      </c>
      <c r="E1447" s="82">
        <f t="shared" ref="E1447:E1500" si="48">D1447/12</f>
        <v>0</v>
      </c>
      <c r="I1447" s="81" t="str">
        <f>CONCATENATE(Data!M1447,"-",Data!L1447)</f>
        <v>-</v>
      </c>
      <c r="N1447" s="81">
        <f>IF(Data!P1447,DATEDIF(Data!O1447,Data!P1447,"d"),0)</f>
        <v>0</v>
      </c>
      <c r="O1447" s="81">
        <f>IF(Data!M1447="CD",1,0)</f>
        <v>0</v>
      </c>
      <c r="P1447" s="81">
        <f>IF(Data!M1447="CD",0,1)</f>
        <v>1</v>
      </c>
      <c r="Q1447" s="81">
        <f>IF(Data!Q1447&gt;Data!P1447,DATEDIF(Data!P1447,Data!Q1447,"d"),0)</f>
        <v>0</v>
      </c>
      <c r="R1447" s="81">
        <f>IF(Data!R1447&gt;Data!Q1447,DATEDIF(Data!Q1447,Data!R1447,"d"),0)</f>
        <v>0</v>
      </c>
    </row>
    <row r="1448" spans="3:18" x14ac:dyDescent="0.2">
      <c r="C1448" s="80">
        <f t="shared" ca="1" si="47"/>
        <v>45959</v>
      </c>
      <c r="D1448" s="81">
        <f>IF(Data!I1448&lt;&gt;"",DATEDIF(Data!I1448,C1448,"m"),0)</f>
        <v>0</v>
      </c>
      <c r="E1448" s="82">
        <f t="shared" si="48"/>
        <v>0</v>
      </c>
      <c r="I1448" s="81" t="str">
        <f>CONCATENATE(Data!M1448,"-",Data!L1448)</f>
        <v>-</v>
      </c>
      <c r="N1448" s="81">
        <f>IF(Data!P1448,DATEDIF(Data!O1448,Data!P1448,"d"),0)</f>
        <v>0</v>
      </c>
      <c r="O1448" s="81">
        <f>IF(Data!M1448="CD",1,0)</f>
        <v>0</v>
      </c>
      <c r="P1448" s="81">
        <f>IF(Data!M1448="CD",0,1)</f>
        <v>1</v>
      </c>
      <c r="Q1448" s="81">
        <f>IF(Data!Q1448&gt;Data!P1448,DATEDIF(Data!P1448,Data!Q1448,"d"),0)</f>
        <v>0</v>
      </c>
      <c r="R1448" s="81">
        <f>IF(Data!R1448&gt;Data!Q1448,DATEDIF(Data!Q1448,Data!R1448,"d"),0)</f>
        <v>0</v>
      </c>
    </row>
    <row r="1449" spans="3:18" x14ac:dyDescent="0.2">
      <c r="C1449" s="80">
        <f t="shared" ca="1" si="47"/>
        <v>45959</v>
      </c>
      <c r="D1449" s="81">
        <f>IF(Data!I1449&lt;&gt;"",DATEDIF(Data!I1449,C1449,"m"),0)</f>
        <v>0</v>
      </c>
      <c r="E1449" s="82">
        <f t="shared" si="48"/>
        <v>0</v>
      </c>
      <c r="I1449" s="81" t="str">
        <f>CONCATENATE(Data!M1449,"-",Data!L1449)</f>
        <v>-</v>
      </c>
      <c r="N1449" s="81">
        <f>IF(Data!P1449,DATEDIF(Data!O1449,Data!P1449,"d"),0)</f>
        <v>0</v>
      </c>
      <c r="O1449" s="81">
        <f>IF(Data!M1449="CD",1,0)</f>
        <v>0</v>
      </c>
      <c r="P1449" s="81">
        <f>IF(Data!M1449="CD",0,1)</f>
        <v>1</v>
      </c>
      <c r="Q1449" s="81">
        <f>IF(Data!Q1449&gt;Data!P1449,DATEDIF(Data!P1449,Data!Q1449,"d"),0)</f>
        <v>0</v>
      </c>
      <c r="R1449" s="81">
        <f>IF(Data!R1449&gt;Data!Q1449,DATEDIF(Data!Q1449,Data!R1449,"d"),0)</f>
        <v>0</v>
      </c>
    </row>
    <row r="1450" spans="3:18" x14ac:dyDescent="0.2">
      <c r="C1450" s="80">
        <f t="shared" ca="1" si="47"/>
        <v>45959</v>
      </c>
      <c r="D1450" s="81">
        <f>IF(Data!I1450&lt;&gt;"",DATEDIF(Data!I1450,C1450,"m"),0)</f>
        <v>0</v>
      </c>
      <c r="E1450" s="82">
        <f t="shared" si="48"/>
        <v>0</v>
      </c>
      <c r="I1450" s="81" t="str">
        <f>CONCATENATE(Data!M1450,"-",Data!L1450)</f>
        <v>-</v>
      </c>
      <c r="N1450" s="81">
        <f>IF(Data!P1450,DATEDIF(Data!O1450,Data!P1450,"d"),0)</f>
        <v>0</v>
      </c>
      <c r="O1450" s="81">
        <f>IF(Data!M1450="CD",1,0)</f>
        <v>0</v>
      </c>
      <c r="P1450" s="81">
        <f>IF(Data!M1450="CD",0,1)</f>
        <v>1</v>
      </c>
      <c r="Q1450" s="81">
        <f>IF(Data!Q1450&gt;Data!P1450,DATEDIF(Data!P1450,Data!Q1450,"d"),0)</f>
        <v>0</v>
      </c>
      <c r="R1450" s="81">
        <f>IF(Data!R1450&gt;Data!Q1450,DATEDIF(Data!Q1450,Data!R1450,"d"),0)</f>
        <v>0</v>
      </c>
    </row>
    <row r="1451" spans="3:18" x14ac:dyDescent="0.2">
      <c r="C1451" s="80">
        <f t="shared" ca="1" si="47"/>
        <v>45959</v>
      </c>
      <c r="D1451" s="81">
        <f>IF(Data!I1451&lt;&gt;"",DATEDIF(Data!I1451,C1451,"m"),0)</f>
        <v>0</v>
      </c>
      <c r="E1451" s="82">
        <f t="shared" si="48"/>
        <v>0</v>
      </c>
      <c r="I1451" s="81" t="str">
        <f>CONCATENATE(Data!M1451,"-",Data!L1451)</f>
        <v>-</v>
      </c>
      <c r="N1451" s="81">
        <f>IF(Data!P1451,DATEDIF(Data!O1451,Data!P1451,"d"),0)</f>
        <v>0</v>
      </c>
      <c r="O1451" s="81">
        <f>IF(Data!M1451="CD",1,0)</f>
        <v>0</v>
      </c>
      <c r="P1451" s="81">
        <f>IF(Data!M1451="CD",0,1)</f>
        <v>1</v>
      </c>
      <c r="Q1451" s="81">
        <f>IF(Data!Q1451&gt;Data!P1451,DATEDIF(Data!P1451,Data!Q1451,"d"),0)</f>
        <v>0</v>
      </c>
      <c r="R1451" s="81">
        <f>IF(Data!R1451&gt;Data!Q1451,DATEDIF(Data!Q1451,Data!R1451,"d"),0)</f>
        <v>0</v>
      </c>
    </row>
    <row r="1452" spans="3:18" x14ac:dyDescent="0.2">
      <c r="C1452" s="80">
        <f t="shared" ca="1" si="47"/>
        <v>45959</v>
      </c>
      <c r="D1452" s="81">
        <f>IF(Data!I1452&lt;&gt;"",DATEDIF(Data!I1452,C1452,"m"),0)</f>
        <v>0</v>
      </c>
      <c r="E1452" s="82">
        <f t="shared" si="48"/>
        <v>0</v>
      </c>
      <c r="I1452" s="81" t="str">
        <f>CONCATENATE(Data!M1452,"-",Data!L1452)</f>
        <v>-</v>
      </c>
      <c r="N1452" s="81">
        <f>IF(Data!P1452,DATEDIF(Data!O1452,Data!P1452,"d"),0)</f>
        <v>0</v>
      </c>
      <c r="O1452" s="81">
        <f>IF(Data!M1452="CD",1,0)</f>
        <v>0</v>
      </c>
      <c r="P1452" s="81">
        <f>IF(Data!M1452="CD",0,1)</f>
        <v>1</v>
      </c>
      <c r="Q1452" s="81">
        <f>IF(Data!Q1452&gt;Data!P1452,DATEDIF(Data!P1452,Data!Q1452,"d"),0)</f>
        <v>0</v>
      </c>
      <c r="R1452" s="81">
        <f>IF(Data!R1452&gt;Data!Q1452,DATEDIF(Data!Q1452,Data!R1452,"d"),0)</f>
        <v>0</v>
      </c>
    </row>
    <row r="1453" spans="3:18" x14ac:dyDescent="0.2">
      <c r="C1453" s="80">
        <f t="shared" ca="1" si="47"/>
        <v>45959</v>
      </c>
      <c r="D1453" s="81">
        <f>IF(Data!I1453&lt;&gt;"",DATEDIF(Data!I1453,C1453,"m"),0)</f>
        <v>0</v>
      </c>
      <c r="E1453" s="82">
        <f t="shared" si="48"/>
        <v>0</v>
      </c>
      <c r="I1453" s="81" t="str">
        <f>CONCATENATE(Data!M1453,"-",Data!L1453)</f>
        <v>-</v>
      </c>
      <c r="N1453" s="81">
        <f>IF(Data!P1453,DATEDIF(Data!O1453,Data!P1453,"d"),0)</f>
        <v>0</v>
      </c>
      <c r="O1453" s="81">
        <f>IF(Data!M1453="CD",1,0)</f>
        <v>0</v>
      </c>
      <c r="P1453" s="81">
        <f>IF(Data!M1453="CD",0,1)</f>
        <v>1</v>
      </c>
      <c r="Q1453" s="81">
        <f>IF(Data!Q1453&gt;Data!P1453,DATEDIF(Data!P1453,Data!Q1453,"d"),0)</f>
        <v>0</v>
      </c>
      <c r="R1453" s="81">
        <f>IF(Data!R1453&gt;Data!Q1453,DATEDIF(Data!Q1453,Data!R1453,"d"),0)</f>
        <v>0</v>
      </c>
    </row>
    <row r="1454" spans="3:18" x14ac:dyDescent="0.2">
      <c r="C1454" s="80">
        <f t="shared" ca="1" si="47"/>
        <v>45959</v>
      </c>
      <c r="D1454" s="81">
        <f>IF(Data!I1454&lt;&gt;"",DATEDIF(Data!I1454,C1454,"m"),0)</f>
        <v>0</v>
      </c>
      <c r="E1454" s="82">
        <f t="shared" si="48"/>
        <v>0</v>
      </c>
      <c r="I1454" s="81" t="str">
        <f>CONCATENATE(Data!M1454,"-",Data!L1454)</f>
        <v>-</v>
      </c>
      <c r="N1454" s="81">
        <f>IF(Data!P1454,DATEDIF(Data!O1454,Data!P1454,"d"),0)</f>
        <v>0</v>
      </c>
      <c r="O1454" s="81">
        <f>IF(Data!M1454="CD",1,0)</f>
        <v>0</v>
      </c>
      <c r="P1454" s="81">
        <f>IF(Data!M1454="CD",0,1)</f>
        <v>1</v>
      </c>
      <c r="Q1454" s="81">
        <f>IF(Data!Q1454&gt;Data!P1454,DATEDIF(Data!P1454,Data!Q1454,"d"),0)</f>
        <v>0</v>
      </c>
      <c r="R1454" s="81">
        <f>IF(Data!R1454&gt;Data!Q1454,DATEDIF(Data!Q1454,Data!R1454,"d"),0)</f>
        <v>0</v>
      </c>
    </row>
    <row r="1455" spans="3:18" x14ac:dyDescent="0.2">
      <c r="C1455" s="80">
        <f t="shared" ca="1" si="47"/>
        <v>45959</v>
      </c>
      <c r="D1455" s="81">
        <f>IF(Data!I1455&lt;&gt;"",DATEDIF(Data!I1455,C1455,"m"),0)</f>
        <v>0</v>
      </c>
      <c r="E1455" s="82">
        <f t="shared" si="48"/>
        <v>0</v>
      </c>
      <c r="I1455" s="81" t="str">
        <f>CONCATENATE(Data!M1455,"-",Data!L1455)</f>
        <v>-</v>
      </c>
      <c r="N1455" s="81">
        <f>IF(Data!P1455,DATEDIF(Data!O1455,Data!P1455,"d"),0)</f>
        <v>0</v>
      </c>
      <c r="O1455" s="81">
        <f>IF(Data!M1455="CD",1,0)</f>
        <v>0</v>
      </c>
      <c r="P1455" s="81">
        <f>IF(Data!M1455="CD",0,1)</f>
        <v>1</v>
      </c>
      <c r="Q1455" s="81">
        <f>IF(Data!Q1455&gt;Data!P1455,DATEDIF(Data!P1455,Data!Q1455,"d"),0)</f>
        <v>0</v>
      </c>
      <c r="R1455" s="81">
        <f>IF(Data!R1455&gt;Data!Q1455,DATEDIF(Data!Q1455,Data!R1455,"d"),0)</f>
        <v>0</v>
      </c>
    </row>
    <row r="1456" spans="3:18" x14ac:dyDescent="0.2">
      <c r="C1456" s="80">
        <f t="shared" ca="1" si="47"/>
        <v>45959</v>
      </c>
      <c r="D1456" s="81">
        <f>IF(Data!I1456&lt;&gt;"",DATEDIF(Data!I1456,C1456,"m"),0)</f>
        <v>0</v>
      </c>
      <c r="E1456" s="82">
        <f t="shared" si="48"/>
        <v>0</v>
      </c>
      <c r="I1456" s="81" t="str">
        <f>CONCATENATE(Data!M1456,"-",Data!L1456)</f>
        <v>-</v>
      </c>
      <c r="N1456" s="81">
        <f>IF(Data!P1456,DATEDIF(Data!O1456,Data!P1456,"d"),0)</f>
        <v>0</v>
      </c>
      <c r="O1456" s="81">
        <f>IF(Data!M1456="CD",1,0)</f>
        <v>0</v>
      </c>
      <c r="P1456" s="81">
        <f>IF(Data!M1456="CD",0,1)</f>
        <v>1</v>
      </c>
      <c r="Q1456" s="81">
        <f>IF(Data!Q1456&gt;Data!P1456,DATEDIF(Data!P1456,Data!Q1456,"d"),0)</f>
        <v>0</v>
      </c>
      <c r="R1456" s="81">
        <f>IF(Data!R1456&gt;Data!Q1456,DATEDIF(Data!Q1456,Data!R1456,"d"),0)</f>
        <v>0</v>
      </c>
    </row>
    <row r="1457" spans="3:18" x14ac:dyDescent="0.2">
      <c r="C1457" s="80">
        <f t="shared" ca="1" si="47"/>
        <v>45959</v>
      </c>
      <c r="D1457" s="81">
        <f>IF(Data!I1457&lt;&gt;"",DATEDIF(Data!I1457,C1457,"m"),0)</f>
        <v>0</v>
      </c>
      <c r="E1457" s="82">
        <f t="shared" si="48"/>
        <v>0</v>
      </c>
      <c r="I1457" s="81" t="str">
        <f>CONCATENATE(Data!M1457,"-",Data!L1457)</f>
        <v>-</v>
      </c>
      <c r="N1457" s="81">
        <f>IF(Data!P1457,DATEDIF(Data!O1457,Data!P1457,"d"),0)</f>
        <v>0</v>
      </c>
      <c r="O1457" s="81">
        <f>IF(Data!M1457="CD",1,0)</f>
        <v>0</v>
      </c>
      <c r="P1457" s="81">
        <f>IF(Data!M1457="CD",0,1)</f>
        <v>1</v>
      </c>
      <c r="Q1457" s="81">
        <f>IF(Data!Q1457&gt;Data!P1457,DATEDIF(Data!P1457,Data!Q1457,"d"),0)</f>
        <v>0</v>
      </c>
      <c r="R1457" s="81">
        <f>IF(Data!R1457&gt;Data!Q1457,DATEDIF(Data!Q1457,Data!R1457,"d"),0)</f>
        <v>0</v>
      </c>
    </row>
    <row r="1458" spans="3:18" x14ac:dyDescent="0.2">
      <c r="C1458" s="80">
        <f t="shared" ca="1" si="47"/>
        <v>45959</v>
      </c>
      <c r="D1458" s="81">
        <f>IF(Data!I1458&lt;&gt;"",DATEDIF(Data!I1458,C1458,"m"),0)</f>
        <v>0</v>
      </c>
      <c r="E1458" s="82">
        <f t="shared" si="48"/>
        <v>0</v>
      </c>
      <c r="I1458" s="81" t="str">
        <f>CONCATENATE(Data!M1458,"-",Data!L1458)</f>
        <v>-</v>
      </c>
      <c r="N1458" s="81">
        <f>IF(Data!P1458,DATEDIF(Data!O1458,Data!P1458,"d"),0)</f>
        <v>0</v>
      </c>
      <c r="O1458" s="81">
        <f>IF(Data!M1458="CD",1,0)</f>
        <v>0</v>
      </c>
      <c r="P1458" s="81">
        <f>IF(Data!M1458="CD",0,1)</f>
        <v>1</v>
      </c>
      <c r="Q1458" s="81">
        <f>IF(Data!Q1458&gt;Data!P1458,DATEDIF(Data!P1458,Data!Q1458,"d"),0)</f>
        <v>0</v>
      </c>
      <c r="R1458" s="81">
        <f>IF(Data!R1458&gt;Data!Q1458,DATEDIF(Data!Q1458,Data!R1458,"d"),0)</f>
        <v>0</v>
      </c>
    </row>
    <row r="1459" spans="3:18" x14ac:dyDescent="0.2">
      <c r="C1459" s="80">
        <f t="shared" ca="1" si="47"/>
        <v>45959</v>
      </c>
      <c r="D1459" s="81">
        <f>IF(Data!I1459&lt;&gt;"",DATEDIF(Data!I1459,C1459,"m"),0)</f>
        <v>0</v>
      </c>
      <c r="E1459" s="82">
        <f t="shared" si="48"/>
        <v>0</v>
      </c>
      <c r="I1459" s="81" t="str">
        <f>CONCATENATE(Data!M1459,"-",Data!L1459)</f>
        <v>-</v>
      </c>
      <c r="N1459" s="81">
        <f>IF(Data!P1459,DATEDIF(Data!O1459,Data!P1459,"d"),0)</f>
        <v>0</v>
      </c>
      <c r="O1459" s="81">
        <f>IF(Data!M1459="CD",1,0)</f>
        <v>0</v>
      </c>
      <c r="P1459" s="81">
        <f>IF(Data!M1459="CD",0,1)</f>
        <v>1</v>
      </c>
      <c r="Q1459" s="81">
        <f>IF(Data!Q1459&gt;Data!P1459,DATEDIF(Data!P1459,Data!Q1459,"d"),0)</f>
        <v>0</v>
      </c>
      <c r="R1459" s="81">
        <f>IF(Data!R1459&gt;Data!Q1459,DATEDIF(Data!Q1459,Data!R1459,"d"),0)</f>
        <v>0</v>
      </c>
    </row>
    <row r="1460" spans="3:18" x14ac:dyDescent="0.2">
      <c r="C1460" s="80">
        <f t="shared" ca="1" si="47"/>
        <v>45959</v>
      </c>
      <c r="D1460" s="81">
        <f>IF(Data!I1460&lt;&gt;"",DATEDIF(Data!I1460,C1460,"m"),0)</f>
        <v>0</v>
      </c>
      <c r="E1460" s="82">
        <f t="shared" si="48"/>
        <v>0</v>
      </c>
      <c r="I1460" s="81" t="str">
        <f>CONCATENATE(Data!M1460,"-",Data!L1460)</f>
        <v>-</v>
      </c>
      <c r="N1460" s="81">
        <f>IF(Data!P1460,DATEDIF(Data!O1460,Data!P1460,"d"),0)</f>
        <v>0</v>
      </c>
      <c r="O1460" s="81">
        <f>IF(Data!M1460="CD",1,0)</f>
        <v>0</v>
      </c>
      <c r="P1460" s="81">
        <f>IF(Data!M1460="CD",0,1)</f>
        <v>1</v>
      </c>
      <c r="Q1460" s="81">
        <f>IF(Data!Q1460&gt;Data!P1460,DATEDIF(Data!P1460,Data!Q1460,"d"),0)</f>
        <v>0</v>
      </c>
      <c r="R1460" s="81">
        <f>IF(Data!R1460&gt;Data!Q1460,DATEDIF(Data!Q1460,Data!R1460,"d"),0)</f>
        <v>0</v>
      </c>
    </row>
    <row r="1461" spans="3:18" x14ac:dyDescent="0.2">
      <c r="C1461" s="80">
        <f t="shared" ca="1" si="47"/>
        <v>45959</v>
      </c>
      <c r="D1461" s="81">
        <f>IF(Data!I1461&lt;&gt;"",DATEDIF(Data!I1461,C1461,"m"),0)</f>
        <v>0</v>
      </c>
      <c r="E1461" s="82">
        <f t="shared" si="48"/>
        <v>0</v>
      </c>
      <c r="I1461" s="81" t="str">
        <f>CONCATENATE(Data!M1461,"-",Data!L1461)</f>
        <v>-</v>
      </c>
      <c r="N1461" s="81">
        <f>IF(Data!P1461,DATEDIF(Data!O1461,Data!P1461,"d"),0)</f>
        <v>0</v>
      </c>
      <c r="O1461" s="81">
        <f>IF(Data!M1461="CD",1,0)</f>
        <v>0</v>
      </c>
      <c r="P1461" s="81">
        <f>IF(Data!M1461="CD",0,1)</f>
        <v>1</v>
      </c>
      <c r="Q1461" s="81">
        <f>IF(Data!Q1461&gt;Data!P1461,DATEDIF(Data!P1461,Data!Q1461,"d"),0)</f>
        <v>0</v>
      </c>
      <c r="R1461" s="81">
        <f>IF(Data!R1461&gt;Data!Q1461,DATEDIF(Data!Q1461,Data!R1461,"d"),0)</f>
        <v>0</v>
      </c>
    </row>
    <row r="1462" spans="3:18" x14ac:dyDescent="0.2">
      <c r="C1462" s="80">
        <f t="shared" ca="1" si="47"/>
        <v>45959</v>
      </c>
      <c r="D1462" s="81">
        <f>IF(Data!I1462&lt;&gt;"",DATEDIF(Data!I1462,C1462,"m"),0)</f>
        <v>0</v>
      </c>
      <c r="E1462" s="82">
        <f t="shared" si="48"/>
        <v>0</v>
      </c>
      <c r="I1462" s="81" t="str">
        <f>CONCATENATE(Data!M1462,"-",Data!L1462)</f>
        <v>-</v>
      </c>
      <c r="N1462" s="81">
        <f>IF(Data!P1462,DATEDIF(Data!O1462,Data!P1462,"d"),0)</f>
        <v>0</v>
      </c>
      <c r="O1462" s="81">
        <f>IF(Data!M1462="CD",1,0)</f>
        <v>0</v>
      </c>
      <c r="P1462" s="81">
        <f>IF(Data!M1462="CD",0,1)</f>
        <v>1</v>
      </c>
      <c r="Q1462" s="81">
        <f>IF(Data!Q1462&gt;Data!P1462,DATEDIF(Data!P1462,Data!Q1462,"d"),0)</f>
        <v>0</v>
      </c>
      <c r="R1462" s="81">
        <f>IF(Data!R1462&gt;Data!Q1462,DATEDIF(Data!Q1462,Data!R1462,"d"),0)</f>
        <v>0</v>
      </c>
    </row>
    <row r="1463" spans="3:18" x14ac:dyDescent="0.2">
      <c r="C1463" s="80">
        <f t="shared" ca="1" si="47"/>
        <v>45959</v>
      </c>
      <c r="D1463" s="81">
        <f>IF(Data!I1463&lt;&gt;"",DATEDIF(Data!I1463,C1463,"m"),0)</f>
        <v>0</v>
      </c>
      <c r="E1463" s="82">
        <f t="shared" si="48"/>
        <v>0</v>
      </c>
      <c r="I1463" s="81" t="str">
        <f>CONCATENATE(Data!M1463,"-",Data!L1463)</f>
        <v>-</v>
      </c>
      <c r="N1463" s="81">
        <f>IF(Data!P1463,DATEDIF(Data!O1463,Data!P1463,"d"),0)</f>
        <v>0</v>
      </c>
      <c r="O1463" s="81">
        <f>IF(Data!M1463="CD",1,0)</f>
        <v>0</v>
      </c>
      <c r="P1463" s="81">
        <f>IF(Data!M1463="CD",0,1)</f>
        <v>1</v>
      </c>
      <c r="Q1463" s="81">
        <f>IF(Data!Q1463&gt;Data!P1463,DATEDIF(Data!P1463,Data!Q1463,"d"),0)</f>
        <v>0</v>
      </c>
      <c r="R1463" s="81">
        <f>IF(Data!R1463&gt;Data!Q1463,DATEDIF(Data!Q1463,Data!R1463,"d"),0)</f>
        <v>0</v>
      </c>
    </row>
    <row r="1464" spans="3:18" x14ac:dyDescent="0.2">
      <c r="C1464" s="80">
        <f t="shared" ca="1" si="47"/>
        <v>45959</v>
      </c>
      <c r="D1464" s="81">
        <f>IF(Data!I1464&lt;&gt;"",DATEDIF(Data!I1464,C1464,"m"),0)</f>
        <v>0</v>
      </c>
      <c r="E1464" s="82">
        <f t="shared" si="48"/>
        <v>0</v>
      </c>
      <c r="I1464" s="81" t="str">
        <f>CONCATENATE(Data!M1464,"-",Data!L1464)</f>
        <v>-</v>
      </c>
      <c r="N1464" s="81">
        <f>IF(Data!P1464,DATEDIF(Data!O1464,Data!P1464,"d"),0)</f>
        <v>0</v>
      </c>
      <c r="O1464" s="81">
        <f>IF(Data!M1464="CD",1,0)</f>
        <v>0</v>
      </c>
      <c r="P1464" s="81">
        <f>IF(Data!M1464="CD",0,1)</f>
        <v>1</v>
      </c>
      <c r="Q1464" s="81">
        <f>IF(Data!Q1464&gt;Data!P1464,DATEDIF(Data!P1464,Data!Q1464,"d"),0)</f>
        <v>0</v>
      </c>
      <c r="R1464" s="81">
        <f>IF(Data!R1464&gt;Data!Q1464,DATEDIF(Data!Q1464,Data!R1464,"d"),0)</f>
        <v>0</v>
      </c>
    </row>
    <row r="1465" spans="3:18" x14ac:dyDescent="0.2">
      <c r="C1465" s="80">
        <f t="shared" ca="1" si="47"/>
        <v>45959</v>
      </c>
      <c r="D1465" s="81">
        <f>IF(Data!I1465&lt;&gt;"",DATEDIF(Data!I1465,C1465,"m"),0)</f>
        <v>0</v>
      </c>
      <c r="E1465" s="82">
        <f t="shared" si="48"/>
        <v>0</v>
      </c>
      <c r="I1465" s="81" t="str">
        <f>CONCATENATE(Data!M1465,"-",Data!L1465)</f>
        <v>-</v>
      </c>
      <c r="N1465" s="81">
        <f>IF(Data!P1465,DATEDIF(Data!O1465,Data!P1465,"d"),0)</f>
        <v>0</v>
      </c>
      <c r="O1465" s="81">
        <f>IF(Data!M1465="CD",1,0)</f>
        <v>0</v>
      </c>
      <c r="P1465" s="81">
        <f>IF(Data!M1465="CD",0,1)</f>
        <v>1</v>
      </c>
      <c r="Q1465" s="81">
        <f>IF(Data!Q1465&gt;Data!P1465,DATEDIF(Data!P1465,Data!Q1465,"d"),0)</f>
        <v>0</v>
      </c>
      <c r="R1465" s="81">
        <f>IF(Data!R1465&gt;Data!Q1465,DATEDIF(Data!Q1465,Data!R1465,"d"),0)</f>
        <v>0</v>
      </c>
    </row>
    <row r="1466" spans="3:18" x14ac:dyDescent="0.2">
      <c r="C1466" s="80">
        <f t="shared" ca="1" si="47"/>
        <v>45959</v>
      </c>
      <c r="D1466" s="81">
        <f>IF(Data!I1466&lt;&gt;"",DATEDIF(Data!I1466,C1466,"m"),0)</f>
        <v>0</v>
      </c>
      <c r="E1466" s="82">
        <f t="shared" si="48"/>
        <v>0</v>
      </c>
      <c r="I1466" s="81" t="str">
        <f>CONCATENATE(Data!M1466,"-",Data!L1466)</f>
        <v>-</v>
      </c>
      <c r="N1466" s="81">
        <f>IF(Data!P1466,DATEDIF(Data!O1466,Data!P1466,"d"),0)</f>
        <v>0</v>
      </c>
      <c r="O1466" s="81">
        <f>IF(Data!M1466="CD",1,0)</f>
        <v>0</v>
      </c>
      <c r="P1466" s="81">
        <f>IF(Data!M1466="CD",0,1)</f>
        <v>1</v>
      </c>
      <c r="Q1466" s="81">
        <f>IF(Data!Q1466&gt;Data!P1466,DATEDIF(Data!P1466,Data!Q1466,"d"),0)</f>
        <v>0</v>
      </c>
      <c r="R1466" s="81">
        <f>IF(Data!R1466&gt;Data!Q1466,DATEDIF(Data!Q1466,Data!R1466,"d"),0)</f>
        <v>0</v>
      </c>
    </row>
    <row r="1467" spans="3:18" x14ac:dyDescent="0.2">
      <c r="C1467" s="80">
        <f t="shared" ca="1" si="47"/>
        <v>45959</v>
      </c>
      <c r="D1467" s="81">
        <f>IF(Data!I1467&lt;&gt;"",DATEDIF(Data!I1467,C1467,"m"),0)</f>
        <v>0</v>
      </c>
      <c r="E1467" s="82">
        <f t="shared" si="48"/>
        <v>0</v>
      </c>
      <c r="I1467" s="81" t="str">
        <f>CONCATENATE(Data!M1467,"-",Data!L1467)</f>
        <v>-</v>
      </c>
      <c r="N1467" s="81">
        <f>IF(Data!P1467,DATEDIF(Data!O1467,Data!P1467,"d"),0)</f>
        <v>0</v>
      </c>
      <c r="O1467" s="81">
        <f>IF(Data!M1467="CD",1,0)</f>
        <v>0</v>
      </c>
      <c r="P1467" s="81">
        <f>IF(Data!M1467="CD",0,1)</f>
        <v>1</v>
      </c>
      <c r="Q1467" s="81">
        <f>IF(Data!Q1467&gt;Data!P1467,DATEDIF(Data!P1467,Data!Q1467,"d"),0)</f>
        <v>0</v>
      </c>
      <c r="R1467" s="81">
        <f>IF(Data!R1467&gt;Data!Q1467,DATEDIF(Data!Q1467,Data!R1467,"d"),0)</f>
        <v>0</v>
      </c>
    </row>
    <row r="1468" spans="3:18" x14ac:dyDescent="0.2">
      <c r="C1468" s="80">
        <f t="shared" ca="1" si="47"/>
        <v>45959</v>
      </c>
      <c r="D1468" s="81">
        <f>IF(Data!I1468&lt;&gt;"",DATEDIF(Data!I1468,C1468,"m"),0)</f>
        <v>0</v>
      </c>
      <c r="E1468" s="82">
        <f t="shared" si="48"/>
        <v>0</v>
      </c>
      <c r="I1468" s="81" t="str">
        <f>CONCATENATE(Data!M1468,"-",Data!L1468)</f>
        <v>-</v>
      </c>
      <c r="N1468" s="81">
        <f>IF(Data!P1468,DATEDIF(Data!O1468,Data!P1468,"d"),0)</f>
        <v>0</v>
      </c>
      <c r="O1468" s="81">
        <f>IF(Data!M1468="CD",1,0)</f>
        <v>0</v>
      </c>
      <c r="P1468" s="81">
        <f>IF(Data!M1468="CD",0,1)</f>
        <v>1</v>
      </c>
      <c r="Q1468" s="81">
        <f>IF(Data!Q1468&gt;Data!P1468,DATEDIF(Data!P1468,Data!Q1468,"d"),0)</f>
        <v>0</v>
      </c>
      <c r="R1468" s="81">
        <f>IF(Data!R1468&gt;Data!Q1468,DATEDIF(Data!Q1468,Data!R1468,"d"),0)</f>
        <v>0</v>
      </c>
    </row>
    <row r="1469" spans="3:18" x14ac:dyDescent="0.2">
      <c r="C1469" s="80">
        <f t="shared" ca="1" si="47"/>
        <v>45959</v>
      </c>
      <c r="D1469" s="81">
        <f>IF(Data!I1469&lt;&gt;"",DATEDIF(Data!I1469,C1469,"m"),0)</f>
        <v>0</v>
      </c>
      <c r="E1469" s="82">
        <f t="shared" si="48"/>
        <v>0</v>
      </c>
      <c r="I1469" s="81" t="str">
        <f>CONCATENATE(Data!M1469,"-",Data!L1469)</f>
        <v>-</v>
      </c>
      <c r="N1469" s="81">
        <f>IF(Data!P1469,DATEDIF(Data!O1469,Data!P1469,"d"),0)</f>
        <v>0</v>
      </c>
      <c r="O1469" s="81">
        <f>IF(Data!M1469="CD",1,0)</f>
        <v>0</v>
      </c>
      <c r="P1469" s="81">
        <f>IF(Data!M1469="CD",0,1)</f>
        <v>1</v>
      </c>
      <c r="Q1469" s="81">
        <f>IF(Data!Q1469&gt;Data!P1469,DATEDIF(Data!P1469,Data!Q1469,"d"),0)</f>
        <v>0</v>
      </c>
      <c r="R1469" s="81">
        <f>IF(Data!R1469&gt;Data!Q1469,DATEDIF(Data!Q1469,Data!R1469,"d"),0)</f>
        <v>0</v>
      </c>
    </row>
    <row r="1470" spans="3:18" x14ac:dyDescent="0.2">
      <c r="C1470" s="80">
        <f t="shared" ca="1" si="47"/>
        <v>45959</v>
      </c>
      <c r="D1470" s="81">
        <f>IF(Data!I1470&lt;&gt;"",DATEDIF(Data!I1470,C1470,"m"),0)</f>
        <v>0</v>
      </c>
      <c r="E1470" s="82">
        <f t="shared" si="48"/>
        <v>0</v>
      </c>
      <c r="I1470" s="81" t="str">
        <f>CONCATENATE(Data!M1470,"-",Data!L1470)</f>
        <v>-</v>
      </c>
      <c r="N1470" s="81">
        <f>IF(Data!P1470,DATEDIF(Data!O1470,Data!P1470,"d"),0)</f>
        <v>0</v>
      </c>
      <c r="O1470" s="81">
        <f>IF(Data!M1470="CD",1,0)</f>
        <v>0</v>
      </c>
      <c r="P1470" s="81">
        <f>IF(Data!M1470="CD",0,1)</f>
        <v>1</v>
      </c>
      <c r="Q1470" s="81">
        <f>IF(Data!Q1470&gt;Data!P1470,DATEDIF(Data!P1470,Data!Q1470,"d"),0)</f>
        <v>0</v>
      </c>
      <c r="R1470" s="81">
        <f>IF(Data!R1470&gt;Data!Q1470,DATEDIF(Data!Q1470,Data!R1470,"d"),0)</f>
        <v>0</v>
      </c>
    </row>
    <row r="1471" spans="3:18" x14ac:dyDescent="0.2">
      <c r="C1471" s="80">
        <f t="shared" ca="1" si="47"/>
        <v>45959</v>
      </c>
      <c r="D1471" s="81">
        <f>IF(Data!I1471&lt;&gt;"",DATEDIF(Data!I1471,C1471,"m"),0)</f>
        <v>0</v>
      </c>
      <c r="E1471" s="82">
        <f t="shared" si="48"/>
        <v>0</v>
      </c>
      <c r="I1471" s="81" t="str">
        <f>CONCATENATE(Data!M1471,"-",Data!L1471)</f>
        <v>-</v>
      </c>
      <c r="N1471" s="81">
        <f>IF(Data!P1471,DATEDIF(Data!O1471,Data!P1471,"d"),0)</f>
        <v>0</v>
      </c>
      <c r="O1471" s="81">
        <f>IF(Data!M1471="CD",1,0)</f>
        <v>0</v>
      </c>
      <c r="P1471" s="81">
        <f>IF(Data!M1471="CD",0,1)</f>
        <v>1</v>
      </c>
      <c r="Q1471" s="81">
        <f>IF(Data!Q1471&gt;Data!P1471,DATEDIF(Data!P1471,Data!Q1471,"d"),0)</f>
        <v>0</v>
      </c>
      <c r="R1471" s="81">
        <f>IF(Data!R1471&gt;Data!Q1471,DATEDIF(Data!Q1471,Data!R1471,"d"),0)</f>
        <v>0</v>
      </c>
    </row>
    <row r="1472" spans="3:18" x14ac:dyDescent="0.2">
      <c r="C1472" s="80">
        <f t="shared" ca="1" si="47"/>
        <v>45959</v>
      </c>
      <c r="D1472" s="81">
        <f>IF(Data!I1472&lt;&gt;"",DATEDIF(Data!I1472,C1472,"m"),0)</f>
        <v>0</v>
      </c>
      <c r="E1472" s="82">
        <f t="shared" si="48"/>
        <v>0</v>
      </c>
      <c r="I1472" s="81" t="str">
        <f>CONCATENATE(Data!M1472,"-",Data!L1472)</f>
        <v>-</v>
      </c>
      <c r="N1472" s="81">
        <f>IF(Data!P1472,DATEDIF(Data!O1472,Data!P1472,"d"),0)</f>
        <v>0</v>
      </c>
      <c r="O1472" s="81">
        <f>IF(Data!M1472="CD",1,0)</f>
        <v>0</v>
      </c>
      <c r="P1472" s="81">
        <f>IF(Data!M1472="CD",0,1)</f>
        <v>1</v>
      </c>
      <c r="Q1472" s="81">
        <f>IF(Data!Q1472&gt;Data!P1472,DATEDIF(Data!P1472,Data!Q1472,"d"),0)</f>
        <v>0</v>
      </c>
      <c r="R1472" s="81">
        <f>IF(Data!R1472&gt;Data!Q1472,DATEDIF(Data!Q1472,Data!R1472,"d"),0)</f>
        <v>0</v>
      </c>
    </row>
    <row r="1473" spans="3:18" x14ac:dyDescent="0.2">
      <c r="C1473" s="80">
        <f t="shared" ca="1" si="47"/>
        <v>45959</v>
      </c>
      <c r="D1473" s="81">
        <f>IF(Data!I1473&lt;&gt;"",DATEDIF(Data!I1473,C1473,"m"),0)</f>
        <v>0</v>
      </c>
      <c r="E1473" s="82">
        <f t="shared" si="48"/>
        <v>0</v>
      </c>
      <c r="I1473" s="81" t="str">
        <f>CONCATENATE(Data!M1473,"-",Data!L1473)</f>
        <v>-</v>
      </c>
      <c r="N1473" s="81">
        <f>IF(Data!P1473,DATEDIF(Data!O1473,Data!P1473,"d"),0)</f>
        <v>0</v>
      </c>
      <c r="O1473" s="81">
        <f>IF(Data!M1473="CD",1,0)</f>
        <v>0</v>
      </c>
      <c r="P1473" s="81">
        <f>IF(Data!M1473="CD",0,1)</f>
        <v>1</v>
      </c>
      <c r="Q1473" s="81">
        <f>IF(Data!Q1473&gt;Data!P1473,DATEDIF(Data!P1473,Data!Q1473,"d"),0)</f>
        <v>0</v>
      </c>
      <c r="R1473" s="81">
        <f>IF(Data!R1473&gt;Data!Q1473,DATEDIF(Data!Q1473,Data!R1473,"d"),0)</f>
        <v>0</v>
      </c>
    </row>
    <row r="1474" spans="3:18" x14ac:dyDescent="0.2">
      <c r="C1474" s="80">
        <f t="shared" ref="C1474:C1500" ca="1" si="49">TODAY()</f>
        <v>45959</v>
      </c>
      <c r="D1474" s="81">
        <f>IF(Data!I1474&lt;&gt;"",DATEDIF(Data!I1474,C1474,"m"),0)</f>
        <v>0</v>
      </c>
      <c r="E1474" s="82">
        <f t="shared" si="48"/>
        <v>0</v>
      </c>
      <c r="I1474" s="81" t="str">
        <f>CONCATENATE(Data!M1474,"-",Data!L1474)</f>
        <v>-</v>
      </c>
      <c r="N1474" s="81">
        <f>IF(Data!P1474,DATEDIF(Data!O1474,Data!P1474,"d"),0)</f>
        <v>0</v>
      </c>
      <c r="O1474" s="81">
        <f>IF(Data!M1474="CD",1,0)</f>
        <v>0</v>
      </c>
      <c r="P1474" s="81">
        <f>IF(Data!M1474="CD",0,1)</f>
        <v>1</v>
      </c>
      <c r="Q1474" s="81">
        <f>IF(Data!Q1474&gt;Data!P1474,DATEDIF(Data!P1474,Data!Q1474,"d"),0)</f>
        <v>0</v>
      </c>
      <c r="R1474" s="81">
        <f>IF(Data!R1474&gt;Data!Q1474,DATEDIF(Data!Q1474,Data!R1474,"d"),0)</f>
        <v>0</v>
      </c>
    </row>
    <row r="1475" spans="3:18" x14ac:dyDescent="0.2">
      <c r="C1475" s="80">
        <f t="shared" ca="1" si="49"/>
        <v>45959</v>
      </c>
      <c r="D1475" s="81">
        <f>IF(Data!I1475&lt;&gt;"",DATEDIF(Data!I1475,C1475,"m"),0)</f>
        <v>0</v>
      </c>
      <c r="E1475" s="82">
        <f t="shared" si="48"/>
        <v>0</v>
      </c>
      <c r="I1475" s="81" t="str">
        <f>CONCATENATE(Data!M1475,"-",Data!L1475)</f>
        <v>-</v>
      </c>
      <c r="N1475" s="81">
        <f>IF(Data!P1475,DATEDIF(Data!O1475,Data!P1475,"d"),0)</f>
        <v>0</v>
      </c>
      <c r="O1475" s="81">
        <f>IF(Data!M1475="CD",1,0)</f>
        <v>0</v>
      </c>
      <c r="P1475" s="81">
        <f>IF(Data!M1475="CD",0,1)</f>
        <v>1</v>
      </c>
      <c r="Q1475" s="81">
        <f>IF(Data!Q1475&gt;Data!P1475,DATEDIF(Data!P1475,Data!Q1475,"d"),0)</f>
        <v>0</v>
      </c>
      <c r="R1475" s="81">
        <f>IF(Data!R1475&gt;Data!Q1475,DATEDIF(Data!Q1475,Data!R1475,"d"),0)</f>
        <v>0</v>
      </c>
    </row>
    <row r="1476" spans="3:18" x14ac:dyDescent="0.2">
      <c r="C1476" s="80">
        <f t="shared" ca="1" si="49"/>
        <v>45959</v>
      </c>
      <c r="D1476" s="81">
        <f>IF(Data!I1476&lt;&gt;"",DATEDIF(Data!I1476,C1476,"m"),0)</f>
        <v>0</v>
      </c>
      <c r="E1476" s="82">
        <f t="shared" si="48"/>
        <v>0</v>
      </c>
      <c r="I1476" s="81" t="str">
        <f>CONCATENATE(Data!M1476,"-",Data!L1476)</f>
        <v>-</v>
      </c>
      <c r="N1476" s="81">
        <f>IF(Data!P1476,DATEDIF(Data!O1476,Data!P1476,"d"),0)</f>
        <v>0</v>
      </c>
      <c r="O1476" s="81">
        <f>IF(Data!M1476="CD",1,0)</f>
        <v>0</v>
      </c>
      <c r="P1476" s="81">
        <f>IF(Data!M1476="CD",0,1)</f>
        <v>1</v>
      </c>
      <c r="Q1476" s="81">
        <f>IF(Data!Q1476&gt;Data!P1476,DATEDIF(Data!P1476,Data!Q1476,"d"),0)</f>
        <v>0</v>
      </c>
      <c r="R1476" s="81">
        <f>IF(Data!R1476&gt;Data!Q1476,DATEDIF(Data!Q1476,Data!R1476,"d"),0)</f>
        <v>0</v>
      </c>
    </row>
    <row r="1477" spans="3:18" x14ac:dyDescent="0.2">
      <c r="C1477" s="80">
        <f t="shared" ca="1" si="49"/>
        <v>45959</v>
      </c>
      <c r="D1477" s="81">
        <f>IF(Data!I1477&lt;&gt;"",DATEDIF(Data!I1477,C1477,"m"),0)</f>
        <v>0</v>
      </c>
      <c r="E1477" s="82">
        <f t="shared" si="48"/>
        <v>0</v>
      </c>
      <c r="I1477" s="81" t="str">
        <f>CONCATENATE(Data!M1477,"-",Data!L1477)</f>
        <v>-</v>
      </c>
      <c r="N1477" s="81">
        <f>IF(Data!P1477,DATEDIF(Data!O1477,Data!P1477,"d"),0)</f>
        <v>0</v>
      </c>
      <c r="O1477" s="81">
        <f>IF(Data!M1477="CD",1,0)</f>
        <v>0</v>
      </c>
      <c r="P1477" s="81">
        <f>IF(Data!M1477="CD",0,1)</f>
        <v>1</v>
      </c>
      <c r="Q1477" s="81">
        <f>IF(Data!Q1477&gt;Data!P1477,DATEDIF(Data!P1477,Data!Q1477,"d"),0)</f>
        <v>0</v>
      </c>
      <c r="R1477" s="81">
        <f>IF(Data!R1477&gt;Data!Q1477,DATEDIF(Data!Q1477,Data!R1477,"d"),0)</f>
        <v>0</v>
      </c>
    </row>
    <row r="1478" spans="3:18" x14ac:dyDescent="0.2">
      <c r="C1478" s="80">
        <f t="shared" ca="1" si="49"/>
        <v>45959</v>
      </c>
      <c r="D1478" s="81">
        <f>IF(Data!I1478&lt;&gt;"",DATEDIF(Data!I1478,C1478,"m"),0)</f>
        <v>0</v>
      </c>
      <c r="E1478" s="82">
        <f t="shared" si="48"/>
        <v>0</v>
      </c>
      <c r="I1478" s="81" t="str">
        <f>CONCATENATE(Data!M1478,"-",Data!L1478)</f>
        <v>-</v>
      </c>
      <c r="N1478" s="81">
        <f>IF(Data!P1478,DATEDIF(Data!O1478,Data!P1478,"d"),0)</f>
        <v>0</v>
      </c>
      <c r="O1478" s="81">
        <f>IF(Data!M1478="CD",1,0)</f>
        <v>0</v>
      </c>
      <c r="P1478" s="81">
        <f>IF(Data!M1478="CD",0,1)</f>
        <v>1</v>
      </c>
      <c r="Q1478" s="81">
        <f>IF(Data!Q1478&gt;Data!P1478,DATEDIF(Data!P1478,Data!Q1478,"d"),0)</f>
        <v>0</v>
      </c>
      <c r="R1478" s="81">
        <f>IF(Data!R1478&gt;Data!Q1478,DATEDIF(Data!Q1478,Data!R1478,"d"),0)</f>
        <v>0</v>
      </c>
    </row>
    <row r="1479" spans="3:18" x14ac:dyDescent="0.2">
      <c r="C1479" s="80">
        <f t="shared" ca="1" si="49"/>
        <v>45959</v>
      </c>
      <c r="D1479" s="81">
        <f>IF(Data!I1479&lt;&gt;"",DATEDIF(Data!I1479,C1479,"m"),0)</f>
        <v>0</v>
      </c>
      <c r="E1479" s="82">
        <f t="shared" si="48"/>
        <v>0</v>
      </c>
      <c r="I1479" s="81" t="str">
        <f>CONCATENATE(Data!M1479,"-",Data!L1479)</f>
        <v>-</v>
      </c>
      <c r="N1479" s="81">
        <f>IF(Data!P1479,DATEDIF(Data!O1479,Data!P1479,"d"),0)</f>
        <v>0</v>
      </c>
      <c r="O1479" s="81">
        <f>IF(Data!M1479="CD",1,0)</f>
        <v>0</v>
      </c>
      <c r="P1479" s="81">
        <f>IF(Data!M1479="CD",0,1)</f>
        <v>1</v>
      </c>
      <c r="Q1479" s="81">
        <f>IF(Data!Q1479&gt;Data!P1479,DATEDIF(Data!P1479,Data!Q1479,"d"),0)</f>
        <v>0</v>
      </c>
      <c r="R1479" s="81">
        <f>IF(Data!R1479&gt;Data!Q1479,DATEDIF(Data!Q1479,Data!R1479,"d"),0)</f>
        <v>0</v>
      </c>
    </row>
    <row r="1480" spans="3:18" x14ac:dyDescent="0.2">
      <c r="C1480" s="80">
        <f t="shared" ca="1" si="49"/>
        <v>45959</v>
      </c>
      <c r="D1480" s="81">
        <f>IF(Data!I1480&lt;&gt;"",DATEDIF(Data!I1480,C1480,"m"),0)</f>
        <v>0</v>
      </c>
      <c r="E1480" s="82">
        <f t="shared" si="48"/>
        <v>0</v>
      </c>
      <c r="I1480" s="81" t="str">
        <f>CONCATENATE(Data!M1480,"-",Data!L1480)</f>
        <v>-</v>
      </c>
      <c r="N1480" s="81">
        <f>IF(Data!P1480,DATEDIF(Data!O1480,Data!P1480,"d"),0)</f>
        <v>0</v>
      </c>
      <c r="O1480" s="81">
        <f>IF(Data!M1480="CD",1,0)</f>
        <v>0</v>
      </c>
      <c r="P1480" s="81">
        <f>IF(Data!M1480="CD",0,1)</f>
        <v>1</v>
      </c>
      <c r="Q1480" s="81">
        <f>IF(Data!Q1480&gt;Data!P1480,DATEDIF(Data!P1480,Data!Q1480,"d"),0)</f>
        <v>0</v>
      </c>
      <c r="R1480" s="81">
        <f>IF(Data!R1480&gt;Data!Q1480,DATEDIF(Data!Q1480,Data!R1480,"d"),0)</f>
        <v>0</v>
      </c>
    </row>
    <row r="1481" spans="3:18" x14ac:dyDescent="0.2">
      <c r="C1481" s="80">
        <f t="shared" ca="1" si="49"/>
        <v>45959</v>
      </c>
      <c r="D1481" s="81">
        <f>IF(Data!I1481&lt;&gt;"",DATEDIF(Data!I1481,C1481,"m"),0)</f>
        <v>0</v>
      </c>
      <c r="E1481" s="82">
        <f t="shared" si="48"/>
        <v>0</v>
      </c>
      <c r="I1481" s="81" t="str">
        <f>CONCATENATE(Data!M1481,"-",Data!L1481)</f>
        <v>-</v>
      </c>
      <c r="N1481" s="81">
        <f>IF(Data!P1481,DATEDIF(Data!O1481,Data!P1481,"d"),0)</f>
        <v>0</v>
      </c>
      <c r="O1481" s="81">
        <f>IF(Data!M1481="CD",1,0)</f>
        <v>0</v>
      </c>
      <c r="P1481" s="81">
        <f>IF(Data!M1481="CD",0,1)</f>
        <v>1</v>
      </c>
      <c r="Q1481" s="81">
        <f>IF(Data!Q1481&gt;Data!P1481,DATEDIF(Data!P1481,Data!Q1481,"d"),0)</f>
        <v>0</v>
      </c>
      <c r="R1481" s="81">
        <f>IF(Data!R1481&gt;Data!Q1481,DATEDIF(Data!Q1481,Data!R1481,"d"),0)</f>
        <v>0</v>
      </c>
    </row>
    <row r="1482" spans="3:18" x14ac:dyDescent="0.2">
      <c r="C1482" s="80">
        <f t="shared" ca="1" si="49"/>
        <v>45959</v>
      </c>
      <c r="D1482" s="81">
        <f>IF(Data!I1482&lt;&gt;"",DATEDIF(Data!I1482,C1482,"m"),0)</f>
        <v>0</v>
      </c>
      <c r="E1482" s="82">
        <f t="shared" si="48"/>
        <v>0</v>
      </c>
      <c r="I1482" s="81" t="str">
        <f>CONCATENATE(Data!M1482,"-",Data!L1482)</f>
        <v>-</v>
      </c>
      <c r="N1482" s="81">
        <f>IF(Data!P1482,DATEDIF(Data!O1482,Data!P1482,"d"),0)</f>
        <v>0</v>
      </c>
      <c r="O1482" s="81">
        <f>IF(Data!M1482="CD",1,0)</f>
        <v>0</v>
      </c>
      <c r="P1482" s="81">
        <f>IF(Data!M1482="CD",0,1)</f>
        <v>1</v>
      </c>
      <c r="Q1482" s="81">
        <f>IF(Data!Q1482&gt;Data!P1482,DATEDIF(Data!P1482,Data!Q1482,"d"),0)</f>
        <v>0</v>
      </c>
      <c r="R1482" s="81">
        <f>IF(Data!R1482&gt;Data!Q1482,DATEDIF(Data!Q1482,Data!R1482,"d"),0)</f>
        <v>0</v>
      </c>
    </row>
    <row r="1483" spans="3:18" x14ac:dyDescent="0.2">
      <c r="C1483" s="80">
        <f t="shared" ca="1" si="49"/>
        <v>45959</v>
      </c>
      <c r="D1483" s="81">
        <f>IF(Data!I1483&lt;&gt;"",DATEDIF(Data!I1483,C1483,"m"),0)</f>
        <v>0</v>
      </c>
      <c r="E1483" s="82">
        <f t="shared" si="48"/>
        <v>0</v>
      </c>
      <c r="I1483" s="81" t="str">
        <f>CONCATENATE(Data!M1483,"-",Data!L1483)</f>
        <v>-</v>
      </c>
      <c r="N1483" s="81">
        <f>IF(Data!P1483,DATEDIF(Data!O1483,Data!P1483,"d"),0)</f>
        <v>0</v>
      </c>
      <c r="O1483" s="81">
        <f>IF(Data!M1483="CD",1,0)</f>
        <v>0</v>
      </c>
      <c r="P1483" s="81">
        <f>IF(Data!M1483="CD",0,1)</f>
        <v>1</v>
      </c>
      <c r="Q1483" s="81">
        <f>IF(Data!Q1483&gt;Data!P1483,DATEDIF(Data!P1483,Data!Q1483,"d"),0)</f>
        <v>0</v>
      </c>
      <c r="R1483" s="81">
        <f>IF(Data!R1483&gt;Data!Q1483,DATEDIF(Data!Q1483,Data!R1483,"d"),0)</f>
        <v>0</v>
      </c>
    </row>
    <row r="1484" spans="3:18" x14ac:dyDescent="0.2">
      <c r="C1484" s="80">
        <f t="shared" ca="1" si="49"/>
        <v>45959</v>
      </c>
      <c r="D1484" s="81">
        <f>IF(Data!I1484&lt;&gt;"",DATEDIF(Data!I1484,C1484,"m"),0)</f>
        <v>0</v>
      </c>
      <c r="E1484" s="82">
        <f t="shared" si="48"/>
        <v>0</v>
      </c>
      <c r="I1484" s="81" t="str">
        <f>CONCATENATE(Data!M1484,"-",Data!L1484)</f>
        <v>-</v>
      </c>
      <c r="N1484" s="81">
        <f>IF(Data!P1484,DATEDIF(Data!O1484,Data!P1484,"d"),0)</f>
        <v>0</v>
      </c>
      <c r="O1484" s="81">
        <f>IF(Data!M1484="CD",1,0)</f>
        <v>0</v>
      </c>
      <c r="P1484" s="81">
        <f>IF(Data!M1484="CD",0,1)</f>
        <v>1</v>
      </c>
      <c r="Q1484" s="81">
        <f>IF(Data!Q1484&gt;Data!P1484,DATEDIF(Data!P1484,Data!Q1484,"d"),0)</f>
        <v>0</v>
      </c>
      <c r="R1484" s="81">
        <f>IF(Data!R1484&gt;Data!Q1484,DATEDIF(Data!Q1484,Data!R1484,"d"),0)</f>
        <v>0</v>
      </c>
    </row>
    <row r="1485" spans="3:18" x14ac:dyDescent="0.2">
      <c r="C1485" s="80">
        <f t="shared" ca="1" si="49"/>
        <v>45959</v>
      </c>
      <c r="D1485" s="81">
        <f>IF(Data!I1485&lt;&gt;"",DATEDIF(Data!I1485,C1485,"m"),0)</f>
        <v>0</v>
      </c>
      <c r="E1485" s="82">
        <f t="shared" si="48"/>
        <v>0</v>
      </c>
      <c r="I1485" s="81" t="str">
        <f>CONCATENATE(Data!M1485,"-",Data!L1485)</f>
        <v>-</v>
      </c>
      <c r="N1485" s="81">
        <f>IF(Data!P1485,DATEDIF(Data!O1485,Data!P1485,"d"),0)</f>
        <v>0</v>
      </c>
      <c r="O1485" s="81">
        <f>IF(Data!M1485="CD",1,0)</f>
        <v>0</v>
      </c>
      <c r="P1485" s="81">
        <f>IF(Data!M1485="CD",0,1)</f>
        <v>1</v>
      </c>
      <c r="Q1485" s="81">
        <f>IF(Data!Q1485&gt;Data!P1485,DATEDIF(Data!P1485,Data!Q1485,"d"),0)</f>
        <v>0</v>
      </c>
      <c r="R1485" s="81">
        <f>IF(Data!R1485&gt;Data!Q1485,DATEDIF(Data!Q1485,Data!R1485,"d"),0)</f>
        <v>0</v>
      </c>
    </row>
    <row r="1486" spans="3:18" x14ac:dyDescent="0.2">
      <c r="C1486" s="80">
        <f t="shared" ca="1" si="49"/>
        <v>45959</v>
      </c>
      <c r="D1486" s="81">
        <f>IF(Data!I1486&lt;&gt;"",DATEDIF(Data!I1486,C1486,"m"),0)</f>
        <v>0</v>
      </c>
      <c r="E1486" s="82">
        <f t="shared" si="48"/>
        <v>0</v>
      </c>
      <c r="I1486" s="81" t="str">
        <f>CONCATENATE(Data!M1486,"-",Data!L1486)</f>
        <v>-</v>
      </c>
      <c r="N1486" s="81">
        <f>IF(Data!P1486,DATEDIF(Data!O1486,Data!P1486,"d"),0)</f>
        <v>0</v>
      </c>
      <c r="O1486" s="81">
        <f>IF(Data!M1486="CD",1,0)</f>
        <v>0</v>
      </c>
      <c r="P1486" s="81">
        <f>IF(Data!M1486="CD",0,1)</f>
        <v>1</v>
      </c>
      <c r="Q1486" s="81">
        <f>IF(Data!Q1486&gt;Data!P1486,DATEDIF(Data!P1486,Data!Q1486,"d"),0)</f>
        <v>0</v>
      </c>
      <c r="R1486" s="81">
        <f>IF(Data!R1486&gt;Data!Q1486,DATEDIF(Data!Q1486,Data!R1486,"d"),0)</f>
        <v>0</v>
      </c>
    </row>
    <row r="1487" spans="3:18" x14ac:dyDescent="0.2">
      <c r="C1487" s="80">
        <f t="shared" ca="1" si="49"/>
        <v>45959</v>
      </c>
      <c r="D1487" s="81">
        <f>IF(Data!I1487&lt;&gt;"",DATEDIF(Data!I1487,C1487,"m"),0)</f>
        <v>0</v>
      </c>
      <c r="E1487" s="82">
        <f t="shared" si="48"/>
        <v>0</v>
      </c>
      <c r="I1487" s="81" t="str">
        <f>CONCATENATE(Data!M1487,"-",Data!L1487)</f>
        <v>-</v>
      </c>
      <c r="N1487" s="81">
        <f>IF(Data!P1487,DATEDIF(Data!O1487,Data!P1487,"d"),0)</f>
        <v>0</v>
      </c>
      <c r="O1487" s="81">
        <f>IF(Data!M1487="CD",1,0)</f>
        <v>0</v>
      </c>
      <c r="P1487" s="81">
        <f>IF(Data!M1487="CD",0,1)</f>
        <v>1</v>
      </c>
      <c r="Q1487" s="81">
        <f>IF(Data!Q1487&gt;Data!P1487,DATEDIF(Data!P1487,Data!Q1487,"d"),0)</f>
        <v>0</v>
      </c>
      <c r="R1487" s="81">
        <f>IF(Data!R1487&gt;Data!Q1487,DATEDIF(Data!Q1487,Data!R1487,"d"),0)</f>
        <v>0</v>
      </c>
    </row>
    <row r="1488" spans="3:18" x14ac:dyDescent="0.2">
      <c r="C1488" s="80">
        <f t="shared" ca="1" si="49"/>
        <v>45959</v>
      </c>
      <c r="D1488" s="81">
        <f>IF(Data!I1488&lt;&gt;"",DATEDIF(Data!I1488,C1488,"m"),0)</f>
        <v>0</v>
      </c>
      <c r="E1488" s="82">
        <f t="shared" si="48"/>
        <v>0</v>
      </c>
      <c r="I1488" s="81" t="str">
        <f>CONCATENATE(Data!M1488,"-",Data!L1488)</f>
        <v>-</v>
      </c>
      <c r="N1488" s="81">
        <f>IF(Data!P1488,DATEDIF(Data!O1488,Data!P1488,"d"),0)</f>
        <v>0</v>
      </c>
      <c r="O1488" s="81">
        <f>IF(Data!M1488="CD",1,0)</f>
        <v>0</v>
      </c>
      <c r="P1488" s="81">
        <f>IF(Data!M1488="CD",0,1)</f>
        <v>1</v>
      </c>
      <c r="Q1488" s="81">
        <f>IF(Data!Q1488&gt;Data!P1488,DATEDIF(Data!P1488,Data!Q1488,"d"),0)</f>
        <v>0</v>
      </c>
      <c r="R1488" s="81">
        <f>IF(Data!R1488&gt;Data!Q1488,DATEDIF(Data!Q1488,Data!R1488,"d"),0)</f>
        <v>0</v>
      </c>
    </row>
    <row r="1489" spans="3:18" x14ac:dyDescent="0.2">
      <c r="C1489" s="80">
        <f t="shared" ca="1" si="49"/>
        <v>45959</v>
      </c>
      <c r="D1489" s="81">
        <f>IF(Data!I1489&lt;&gt;"",DATEDIF(Data!I1489,C1489,"m"),0)</f>
        <v>0</v>
      </c>
      <c r="E1489" s="82">
        <f t="shared" si="48"/>
        <v>0</v>
      </c>
      <c r="I1489" s="81" t="str">
        <f>CONCATENATE(Data!M1489,"-",Data!L1489)</f>
        <v>-</v>
      </c>
      <c r="N1489" s="81">
        <f>IF(Data!P1489,DATEDIF(Data!O1489,Data!P1489,"d"),0)</f>
        <v>0</v>
      </c>
      <c r="O1489" s="81">
        <f>IF(Data!M1489="CD",1,0)</f>
        <v>0</v>
      </c>
      <c r="P1489" s="81">
        <f>IF(Data!M1489="CD",0,1)</f>
        <v>1</v>
      </c>
      <c r="Q1489" s="81">
        <f>IF(Data!Q1489&gt;Data!P1489,DATEDIF(Data!P1489,Data!Q1489,"d"),0)</f>
        <v>0</v>
      </c>
      <c r="R1489" s="81">
        <f>IF(Data!R1489&gt;Data!Q1489,DATEDIF(Data!Q1489,Data!R1489,"d"),0)</f>
        <v>0</v>
      </c>
    </row>
    <row r="1490" spans="3:18" x14ac:dyDescent="0.2">
      <c r="C1490" s="80">
        <f t="shared" ca="1" si="49"/>
        <v>45959</v>
      </c>
      <c r="D1490" s="81">
        <f>IF(Data!I1490&lt;&gt;"",DATEDIF(Data!I1490,C1490,"m"),0)</f>
        <v>0</v>
      </c>
      <c r="E1490" s="82">
        <f t="shared" si="48"/>
        <v>0</v>
      </c>
      <c r="I1490" s="81" t="str">
        <f>CONCATENATE(Data!M1490,"-",Data!L1490)</f>
        <v>-</v>
      </c>
      <c r="N1490" s="81">
        <f>IF(Data!P1490,DATEDIF(Data!O1490,Data!P1490,"d"),0)</f>
        <v>0</v>
      </c>
      <c r="O1490" s="81">
        <f>IF(Data!M1490="CD",1,0)</f>
        <v>0</v>
      </c>
      <c r="P1490" s="81">
        <f>IF(Data!M1490="CD",0,1)</f>
        <v>1</v>
      </c>
      <c r="Q1490" s="81">
        <f>IF(Data!Q1490&gt;Data!P1490,DATEDIF(Data!P1490,Data!Q1490,"d"),0)</f>
        <v>0</v>
      </c>
      <c r="R1490" s="81">
        <f>IF(Data!R1490&gt;Data!Q1490,DATEDIF(Data!Q1490,Data!R1490,"d"),0)</f>
        <v>0</v>
      </c>
    </row>
    <row r="1491" spans="3:18" x14ac:dyDescent="0.2">
      <c r="C1491" s="80">
        <f t="shared" ca="1" si="49"/>
        <v>45959</v>
      </c>
      <c r="D1491" s="81">
        <f>IF(Data!I1491&lt;&gt;"",DATEDIF(Data!I1491,C1491,"m"),0)</f>
        <v>0</v>
      </c>
      <c r="E1491" s="82">
        <f t="shared" si="48"/>
        <v>0</v>
      </c>
      <c r="I1491" s="81" t="str">
        <f>CONCATENATE(Data!M1491,"-",Data!L1491)</f>
        <v>-</v>
      </c>
      <c r="N1491" s="81">
        <f>IF(Data!P1491,DATEDIF(Data!O1491,Data!P1491,"d"),0)</f>
        <v>0</v>
      </c>
      <c r="O1491" s="81">
        <f>IF(Data!M1491="CD",1,0)</f>
        <v>0</v>
      </c>
      <c r="P1491" s="81">
        <f>IF(Data!M1491="CD",0,1)</f>
        <v>1</v>
      </c>
      <c r="Q1491" s="81">
        <f>IF(Data!Q1491&gt;Data!P1491,DATEDIF(Data!P1491,Data!Q1491,"d"),0)</f>
        <v>0</v>
      </c>
      <c r="R1491" s="81">
        <f>IF(Data!R1491&gt;Data!Q1491,DATEDIF(Data!Q1491,Data!R1491,"d"),0)</f>
        <v>0</v>
      </c>
    </row>
    <row r="1492" spans="3:18" x14ac:dyDescent="0.2">
      <c r="C1492" s="80">
        <f t="shared" ca="1" si="49"/>
        <v>45959</v>
      </c>
      <c r="D1492" s="81">
        <f>IF(Data!I1492&lt;&gt;"",DATEDIF(Data!I1492,C1492,"m"),0)</f>
        <v>0</v>
      </c>
      <c r="E1492" s="82">
        <f t="shared" si="48"/>
        <v>0</v>
      </c>
      <c r="I1492" s="81" t="str">
        <f>CONCATENATE(Data!M1492,"-",Data!L1492)</f>
        <v>-</v>
      </c>
      <c r="N1492" s="81">
        <f>IF(Data!P1492,DATEDIF(Data!O1492,Data!P1492,"d"),0)</f>
        <v>0</v>
      </c>
      <c r="O1492" s="81">
        <f>IF(Data!M1492="CD",1,0)</f>
        <v>0</v>
      </c>
      <c r="P1492" s="81">
        <f>IF(Data!M1492="CD",0,1)</f>
        <v>1</v>
      </c>
      <c r="Q1492" s="81">
        <f>IF(Data!Q1492&gt;Data!P1492,DATEDIF(Data!P1492,Data!Q1492,"d"),0)</f>
        <v>0</v>
      </c>
      <c r="R1492" s="81">
        <f>IF(Data!R1492&gt;Data!Q1492,DATEDIF(Data!Q1492,Data!R1492,"d"),0)</f>
        <v>0</v>
      </c>
    </row>
    <row r="1493" spans="3:18" x14ac:dyDescent="0.2">
      <c r="C1493" s="80">
        <f t="shared" ca="1" si="49"/>
        <v>45959</v>
      </c>
      <c r="D1493" s="81">
        <f>IF(Data!I1493&lt;&gt;"",DATEDIF(Data!I1493,C1493,"m"),0)</f>
        <v>0</v>
      </c>
      <c r="E1493" s="82">
        <f t="shared" si="48"/>
        <v>0</v>
      </c>
      <c r="I1493" s="81" t="str">
        <f>CONCATENATE(Data!M1493,"-",Data!L1493)</f>
        <v>-</v>
      </c>
      <c r="N1493" s="81">
        <f>IF(Data!P1493,DATEDIF(Data!O1493,Data!P1493,"d"),0)</f>
        <v>0</v>
      </c>
      <c r="O1493" s="81">
        <f>IF(Data!M1493="CD",1,0)</f>
        <v>0</v>
      </c>
      <c r="P1493" s="81">
        <f>IF(Data!M1493="CD",0,1)</f>
        <v>1</v>
      </c>
      <c r="Q1493" s="81">
        <f>IF(Data!Q1493&gt;Data!P1493,DATEDIF(Data!P1493,Data!Q1493,"d"),0)</f>
        <v>0</v>
      </c>
      <c r="R1493" s="81">
        <f>IF(Data!R1493&gt;Data!Q1493,DATEDIF(Data!Q1493,Data!R1493,"d"),0)</f>
        <v>0</v>
      </c>
    </row>
    <row r="1494" spans="3:18" x14ac:dyDescent="0.2">
      <c r="C1494" s="80">
        <f t="shared" ca="1" si="49"/>
        <v>45959</v>
      </c>
      <c r="D1494" s="81">
        <f>IF(Data!I1494&lt;&gt;"",DATEDIF(Data!I1494,C1494,"m"),0)</f>
        <v>0</v>
      </c>
      <c r="E1494" s="82">
        <f t="shared" si="48"/>
        <v>0</v>
      </c>
      <c r="I1494" s="81" t="str">
        <f>CONCATENATE(Data!M1494,"-",Data!L1494)</f>
        <v>-</v>
      </c>
      <c r="N1494" s="81">
        <f>IF(Data!P1494,DATEDIF(Data!O1494,Data!P1494,"d"),0)</f>
        <v>0</v>
      </c>
      <c r="O1494" s="81">
        <f>IF(Data!M1494="CD",1,0)</f>
        <v>0</v>
      </c>
      <c r="P1494" s="81">
        <f>IF(Data!M1494="CD",0,1)</f>
        <v>1</v>
      </c>
      <c r="Q1494" s="81">
        <f>IF(Data!Q1494&gt;Data!P1494,DATEDIF(Data!P1494,Data!Q1494,"d"),0)</f>
        <v>0</v>
      </c>
      <c r="R1494" s="81">
        <f>IF(Data!R1494&gt;Data!Q1494,DATEDIF(Data!Q1494,Data!R1494,"d"),0)</f>
        <v>0</v>
      </c>
    </row>
    <row r="1495" spans="3:18" x14ac:dyDescent="0.2">
      <c r="C1495" s="80">
        <f t="shared" ca="1" si="49"/>
        <v>45959</v>
      </c>
      <c r="D1495" s="81">
        <f>IF(Data!I1495&lt;&gt;"",DATEDIF(Data!I1495,C1495,"m"),0)</f>
        <v>0</v>
      </c>
      <c r="E1495" s="82">
        <f t="shared" si="48"/>
        <v>0</v>
      </c>
      <c r="I1495" s="81" t="str">
        <f>CONCATENATE(Data!M1495,"-",Data!L1495)</f>
        <v>-</v>
      </c>
      <c r="N1495" s="81">
        <f>IF(Data!P1495,DATEDIF(Data!O1495,Data!P1495,"d"),0)</f>
        <v>0</v>
      </c>
      <c r="O1495" s="81">
        <f>IF(Data!M1495="CD",1,0)</f>
        <v>0</v>
      </c>
      <c r="P1495" s="81">
        <f>IF(Data!M1495="CD",0,1)</f>
        <v>1</v>
      </c>
      <c r="Q1495" s="81">
        <f>IF(Data!Q1495&gt;Data!P1495,DATEDIF(Data!P1495,Data!Q1495,"d"),0)</f>
        <v>0</v>
      </c>
      <c r="R1495" s="81">
        <f>IF(Data!R1495&gt;Data!Q1495,DATEDIF(Data!Q1495,Data!R1495,"d"),0)</f>
        <v>0</v>
      </c>
    </row>
    <row r="1496" spans="3:18" x14ac:dyDescent="0.2">
      <c r="C1496" s="80">
        <f t="shared" ca="1" si="49"/>
        <v>45959</v>
      </c>
      <c r="D1496" s="81">
        <f>IF(Data!I1496&lt;&gt;"",DATEDIF(Data!I1496,C1496,"m"),0)</f>
        <v>0</v>
      </c>
      <c r="E1496" s="82">
        <f t="shared" si="48"/>
        <v>0</v>
      </c>
      <c r="I1496" s="81" t="str">
        <f>CONCATENATE(Data!M1496,"-",Data!L1496)</f>
        <v>-</v>
      </c>
      <c r="N1496" s="81">
        <f>IF(Data!P1496,DATEDIF(Data!O1496,Data!P1496,"d"),0)</f>
        <v>0</v>
      </c>
      <c r="O1496" s="81">
        <f>IF(Data!M1496="CD",1,0)</f>
        <v>0</v>
      </c>
      <c r="P1496" s="81">
        <f>IF(Data!M1496="CD",0,1)</f>
        <v>1</v>
      </c>
      <c r="Q1496" s="81">
        <f>IF(Data!Q1496&gt;Data!P1496,DATEDIF(Data!P1496,Data!Q1496,"d"),0)</f>
        <v>0</v>
      </c>
      <c r="R1496" s="81">
        <f>IF(Data!R1496&gt;Data!Q1496,DATEDIF(Data!Q1496,Data!R1496,"d"),0)</f>
        <v>0</v>
      </c>
    </row>
    <row r="1497" spans="3:18" x14ac:dyDescent="0.2">
      <c r="C1497" s="80">
        <f t="shared" ca="1" si="49"/>
        <v>45959</v>
      </c>
      <c r="D1497" s="81">
        <f>IF(Data!I1497&lt;&gt;"",DATEDIF(Data!I1497,C1497,"m"),0)</f>
        <v>0</v>
      </c>
      <c r="E1497" s="82">
        <f t="shared" si="48"/>
        <v>0</v>
      </c>
      <c r="I1497" s="81" t="str">
        <f>CONCATENATE(Data!M1497,"-",Data!L1497)</f>
        <v>-</v>
      </c>
      <c r="N1497" s="81">
        <f>IF(Data!P1497,DATEDIF(Data!O1497,Data!P1497,"d"),0)</f>
        <v>0</v>
      </c>
      <c r="O1497" s="81">
        <f>IF(Data!M1497="CD",1,0)</f>
        <v>0</v>
      </c>
      <c r="P1497" s="81">
        <f>IF(Data!M1497="CD",0,1)</f>
        <v>1</v>
      </c>
      <c r="Q1497" s="81">
        <f>IF(Data!Q1497&gt;Data!P1497,DATEDIF(Data!P1497,Data!Q1497,"d"),0)</f>
        <v>0</v>
      </c>
      <c r="R1497" s="81">
        <f>IF(Data!R1497&gt;Data!Q1497,DATEDIF(Data!Q1497,Data!R1497,"d"),0)</f>
        <v>0</v>
      </c>
    </row>
    <row r="1498" spans="3:18" x14ac:dyDescent="0.2">
      <c r="C1498" s="80">
        <f t="shared" ca="1" si="49"/>
        <v>45959</v>
      </c>
      <c r="D1498" s="81">
        <f>IF(Data!I1498&lt;&gt;"",DATEDIF(Data!I1498,C1498,"m"),0)</f>
        <v>0</v>
      </c>
      <c r="E1498" s="82">
        <f t="shared" si="48"/>
        <v>0</v>
      </c>
      <c r="I1498" s="81" t="str">
        <f>CONCATENATE(Data!M1498,"-",Data!L1498)</f>
        <v>-</v>
      </c>
      <c r="N1498" s="81">
        <f>IF(Data!P1498,DATEDIF(Data!O1498,Data!P1498,"d"),0)</f>
        <v>0</v>
      </c>
      <c r="O1498" s="81">
        <f>IF(Data!M1498="CD",1,0)</f>
        <v>0</v>
      </c>
      <c r="P1498" s="81">
        <f>IF(Data!M1498="CD",0,1)</f>
        <v>1</v>
      </c>
      <c r="Q1498" s="81">
        <f>IF(Data!Q1498&gt;Data!P1498,DATEDIF(Data!P1498,Data!Q1498,"d"),0)</f>
        <v>0</v>
      </c>
      <c r="R1498" s="81">
        <f>IF(Data!R1498&gt;Data!Q1498,DATEDIF(Data!Q1498,Data!R1498,"d"),0)</f>
        <v>0</v>
      </c>
    </row>
    <row r="1499" spans="3:18" x14ac:dyDescent="0.2">
      <c r="C1499" s="80">
        <f t="shared" ca="1" si="49"/>
        <v>45959</v>
      </c>
      <c r="D1499" s="81">
        <f>IF(Data!I1499&lt;&gt;"",DATEDIF(Data!I1499,C1499,"m"),0)</f>
        <v>0</v>
      </c>
      <c r="E1499" s="82">
        <f t="shared" si="48"/>
        <v>0</v>
      </c>
      <c r="I1499" s="81" t="str">
        <f>CONCATENATE(Data!M1499,"-",Data!L1499)</f>
        <v>-</v>
      </c>
      <c r="N1499" s="81">
        <f>IF(Data!P1499,DATEDIF(Data!O1499,Data!P1499,"d"),0)</f>
        <v>0</v>
      </c>
      <c r="O1499" s="81">
        <f>IF(Data!M1499="CD",1,0)</f>
        <v>0</v>
      </c>
      <c r="P1499" s="81">
        <f>IF(Data!M1499="CD",0,1)</f>
        <v>1</v>
      </c>
      <c r="Q1499" s="81">
        <f>IF(Data!Q1499&gt;Data!P1499,DATEDIF(Data!P1499,Data!Q1499,"d"),0)</f>
        <v>0</v>
      </c>
      <c r="R1499" s="81">
        <f>IF(Data!R1499&gt;Data!Q1499,DATEDIF(Data!Q1499,Data!R1499,"d"),0)</f>
        <v>0</v>
      </c>
    </row>
    <row r="1500" spans="3:18" x14ac:dyDescent="0.2">
      <c r="C1500" s="80">
        <f t="shared" ca="1" si="49"/>
        <v>45959</v>
      </c>
      <c r="D1500" s="81">
        <f>IF(Data!I1500&lt;&gt;"",DATEDIF(Data!I1500,C1500,"m"),0)</f>
        <v>0</v>
      </c>
      <c r="E1500" s="82">
        <f t="shared" si="48"/>
        <v>0</v>
      </c>
      <c r="I1500" s="81" t="str">
        <f>CONCATENATE(Data!M1500,"-",Data!L1500)</f>
        <v>-</v>
      </c>
      <c r="N1500" s="81">
        <f>IF(Data!P1500,DATEDIF(Data!O1500,Data!P1500,"d"),0)</f>
        <v>0</v>
      </c>
      <c r="O1500" s="81">
        <f>IF(Data!M1500="CD",1,0)</f>
        <v>0</v>
      </c>
      <c r="P1500" s="81">
        <f>IF(Data!M1500="CD",0,1)</f>
        <v>1</v>
      </c>
      <c r="Q1500" s="81">
        <f>IF(Data!Q1500&gt;Data!P1500,DATEDIF(Data!P1500,Data!Q1500,"d"),0)</f>
        <v>0</v>
      </c>
      <c r="R1500" s="81">
        <f>IF(Data!R1500&gt;Data!Q1500,DATEDIF(Data!Q1500,Data!R1500,"d"),0)</f>
        <v>0</v>
      </c>
    </row>
  </sheetData>
  <sheetProtection selectLockedCells="1" selectUnlockedCells="1"/>
  <autoFilter ref="A1:AB1318" xr:uid="{00000000-0001-0000-0400-000000000000}"/>
  <sortState xmlns:xlrd2="http://schemas.microsoft.com/office/spreadsheetml/2017/richdata2" ref="S23:T54">
    <sortCondition ref="S23:S54"/>
  </sortState>
  <phoneticPr fontId="13" type="noConversion"/>
  <conditionalFormatting sqref="X18 X36">
    <cfRule type="containsText" dxfId="6" priority="1" operator="containsText" text="/2024">
      <formula>NOT(ISERROR(SEARCH("/2024",X18)))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9E52A-A9BB-C14A-8521-D73008C10CBB}">
  <sheetPr codeName="Feuil4"/>
  <dimension ref="A1:G183"/>
  <sheetViews>
    <sheetView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M13" sqref="M13"/>
    </sheetView>
  </sheetViews>
  <sheetFormatPr baseColWidth="10" defaultRowHeight="16" x14ac:dyDescent="0.2"/>
  <cols>
    <col min="1" max="1" width="5.6640625" style="89" bestFit="1" customWidth="1"/>
    <col min="2" max="2" width="23.83203125" bestFit="1" customWidth="1"/>
    <col min="3" max="3" width="4.1640625" bestFit="1" customWidth="1"/>
    <col min="4" max="4" width="3.5" bestFit="1" customWidth="1"/>
    <col min="5" max="6" width="4.1640625" bestFit="1" customWidth="1"/>
    <col min="7" max="8" width="12" bestFit="1" customWidth="1"/>
  </cols>
  <sheetData>
    <row r="1" spans="1:7" ht="16" customHeight="1" x14ac:dyDescent="0.2">
      <c r="B1" s="68" t="s">
        <v>765</v>
      </c>
    </row>
    <row r="2" spans="1:7" ht="16" customHeight="1" x14ac:dyDescent="0.2">
      <c r="C2" t="s">
        <v>3</v>
      </c>
      <c r="D2" t="s">
        <v>5</v>
      </c>
      <c r="E2" t="s">
        <v>7</v>
      </c>
      <c r="F2" t="s">
        <v>4</v>
      </c>
      <c r="G2" t="s">
        <v>693</v>
      </c>
    </row>
    <row r="3" spans="1:7" x14ac:dyDescent="0.2">
      <c r="A3" s="89">
        <v>1</v>
      </c>
      <c r="B3" s="69" t="s">
        <v>332</v>
      </c>
      <c r="C3" s="93">
        <v>26</v>
      </c>
      <c r="G3">
        <v>26</v>
      </c>
    </row>
    <row r="4" spans="1:7" ht="15" customHeight="1" x14ac:dyDescent="0.2">
      <c r="A4" s="89">
        <v>2</v>
      </c>
      <c r="B4" s="69" t="s">
        <v>128</v>
      </c>
      <c r="E4" s="94">
        <v>19</v>
      </c>
      <c r="G4">
        <v>19</v>
      </c>
    </row>
    <row r="5" spans="1:7" x14ac:dyDescent="0.2">
      <c r="A5" s="89">
        <v>3</v>
      </c>
      <c r="B5" s="69" t="s">
        <v>735</v>
      </c>
      <c r="F5" s="95">
        <v>17</v>
      </c>
      <c r="G5">
        <v>17</v>
      </c>
    </row>
    <row r="6" spans="1:7" x14ac:dyDescent="0.2">
      <c r="A6" s="89">
        <v>4</v>
      </c>
      <c r="B6" s="69" t="s">
        <v>599</v>
      </c>
      <c r="C6" s="93">
        <v>9</v>
      </c>
      <c r="E6" s="94">
        <v>7</v>
      </c>
      <c r="G6">
        <v>16</v>
      </c>
    </row>
    <row r="7" spans="1:7" x14ac:dyDescent="0.2">
      <c r="A7" s="89">
        <v>5</v>
      </c>
      <c r="B7" s="69" t="s">
        <v>959</v>
      </c>
      <c r="E7" s="94">
        <v>15</v>
      </c>
      <c r="G7">
        <v>15</v>
      </c>
    </row>
    <row r="8" spans="1:7" x14ac:dyDescent="0.2">
      <c r="A8" s="89">
        <v>6</v>
      </c>
      <c r="B8" s="69" t="s">
        <v>208</v>
      </c>
      <c r="E8" s="94">
        <v>14</v>
      </c>
      <c r="G8">
        <v>14</v>
      </c>
    </row>
    <row r="9" spans="1:7" x14ac:dyDescent="0.2">
      <c r="A9" s="89">
        <v>7</v>
      </c>
      <c r="B9" s="69" t="s">
        <v>115</v>
      </c>
      <c r="F9" s="95">
        <v>13</v>
      </c>
      <c r="G9">
        <v>13</v>
      </c>
    </row>
    <row r="10" spans="1:7" x14ac:dyDescent="0.2">
      <c r="A10" s="89">
        <v>8</v>
      </c>
      <c r="B10" s="69" t="s">
        <v>884</v>
      </c>
      <c r="E10" s="94">
        <v>10</v>
      </c>
      <c r="G10">
        <v>10</v>
      </c>
    </row>
    <row r="11" spans="1:7" x14ac:dyDescent="0.2">
      <c r="A11" s="89">
        <v>9</v>
      </c>
      <c r="B11" s="69" t="s">
        <v>494</v>
      </c>
      <c r="C11" s="93">
        <v>10</v>
      </c>
      <c r="G11">
        <v>10</v>
      </c>
    </row>
    <row r="12" spans="1:7" x14ac:dyDescent="0.2">
      <c r="A12" s="89">
        <v>10</v>
      </c>
      <c r="B12" s="69" t="s">
        <v>675</v>
      </c>
      <c r="F12">
        <v>10</v>
      </c>
      <c r="G12">
        <v>10</v>
      </c>
    </row>
    <row r="13" spans="1:7" x14ac:dyDescent="0.2">
      <c r="A13" s="89">
        <v>11</v>
      </c>
      <c r="B13" s="69" t="s">
        <v>432</v>
      </c>
      <c r="C13">
        <v>1</v>
      </c>
      <c r="E13">
        <v>8</v>
      </c>
      <c r="G13">
        <v>9</v>
      </c>
    </row>
    <row r="14" spans="1:7" x14ac:dyDescent="0.2">
      <c r="A14" s="89">
        <v>12</v>
      </c>
      <c r="B14" s="69" t="s">
        <v>211</v>
      </c>
      <c r="E14" s="94">
        <v>9</v>
      </c>
      <c r="G14">
        <v>9</v>
      </c>
    </row>
    <row r="15" spans="1:7" x14ac:dyDescent="0.2">
      <c r="A15" s="89">
        <v>13</v>
      </c>
      <c r="B15" s="69" t="s">
        <v>348</v>
      </c>
      <c r="F15" s="95">
        <v>9</v>
      </c>
      <c r="G15">
        <v>9</v>
      </c>
    </row>
    <row r="16" spans="1:7" x14ac:dyDescent="0.2">
      <c r="A16" s="89">
        <v>14</v>
      </c>
      <c r="B16" s="69" t="s">
        <v>146</v>
      </c>
      <c r="C16">
        <v>8</v>
      </c>
      <c r="G16">
        <v>8</v>
      </c>
    </row>
    <row r="17" spans="1:7" x14ac:dyDescent="0.2">
      <c r="A17" s="89">
        <v>15</v>
      </c>
      <c r="B17" s="69" t="s">
        <v>1041</v>
      </c>
      <c r="C17">
        <v>8</v>
      </c>
      <c r="G17">
        <v>8</v>
      </c>
    </row>
    <row r="18" spans="1:7" x14ac:dyDescent="0.2">
      <c r="A18" s="89">
        <v>16</v>
      </c>
      <c r="B18" s="69" t="s">
        <v>166</v>
      </c>
      <c r="C18">
        <v>8</v>
      </c>
      <c r="G18">
        <v>8</v>
      </c>
    </row>
    <row r="19" spans="1:7" x14ac:dyDescent="0.2">
      <c r="A19" s="89">
        <v>17</v>
      </c>
      <c r="B19" s="69" t="s">
        <v>391</v>
      </c>
      <c r="E19">
        <v>7</v>
      </c>
      <c r="G19">
        <v>7</v>
      </c>
    </row>
    <row r="20" spans="1:7" x14ac:dyDescent="0.2">
      <c r="A20" s="89">
        <v>18</v>
      </c>
      <c r="B20" s="69" t="s">
        <v>152</v>
      </c>
      <c r="C20">
        <v>7</v>
      </c>
      <c r="G20">
        <v>7</v>
      </c>
    </row>
    <row r="21" spans="1:7" x14ac:dyDescent="0.2">
      <c r="A21" s="89">
        <v>19</v>
      </c>
      <c r="B21" s="69" t="s">
        <v>338</v>
      </c>
      <c r="C21">
        <v>7</v>
      </c>
      <c r="G21">
        <v>7</v>
      </c>
    </row>
    <row r="22" spans="1:7" x14ac:dyDescent="0.2">
      <c r="A22" s="89">
        <v>20</v>
      </c>
      <c r="B22" s="69" t="s">
        <v>169</v>
      </c>
      <c r="F22">
        <v>7</v>
      </c>
      <c r="G22">
        <v>7</v>
      </c>
    </row>
    <row r="23" spans="1:7" x14ac:dyDescent="0.2">
      <c r="A23" s="89">
        <v>21</v>
      </c>
      <c r="B23" s="69" t="s">
        <v>189</v>
      </c>
      <c r="D23">
        <v>6</v>
      </c>
      <c r="G23">
        <v>6</v>
      </c>
    </row>
    <row r="24" spans="1:7" x14ac:dyDescent="0.2">
      <c r="A24" s="89">
        <v>22</v>
      </c>
      <c r="B24" s="69" t="s">
        <v>183</v>
      </c>
      <c r="E24">
        <v>6</v>
      </c>
      <c r="G24">
        <v>6</v>
      </c>
    </row>
    <row r="25" spans="1:7" x14ac:dyDescent="0.2">
      <c r="A25" s="89">
        <v>23</v>
      </c>
      <c r="B25" s="69" t="s">
        <v>453</v>
      </c>
      <c r="E25">
        <v>6</v>
      </c>
      <c r="G25">
        <v>6</v>
      </c>
    </row>
    <row r="26" spans="1:7" x14ac:dyDescent="0.2">
      <c r="A26" s="89">
        <v>24</v>
      </c>
      <c r="B26" s="69" t="s">
        <v>186</v>
      </c>
      <c r="C26">
        <v>6</v>
      </c>
      <c r="G26">
        <v>6</v>
      </c>
    </row>
    <row r="27" spans="1:7" x14ac:dyDescent="0.2">
      <c r="A27" s="89">
        <v>25</v>
      </c>
      <c r="B27" s="69" t="s">
        <v>292</v>
      </c>
      <c r="C27">
        <v>6</v>
      </c>
      <c r="G27">
        <v>6</v>
      </c>
    </row>
    <row r="28" spans="1:7" x14ac:dyDescent="0.2">
      <c r="A28" s="89">
        <v>26</v>
      </c>
      <c r="B28" s="69" t="s">
        <v>455</v>
      </c>
      <c r="E28">
        <v>1</v>
      </c>
      <c r="F28">
        <v>5</v>
      </c>
      <c r="G28">
        <v>6</v>
      </c>
    </row>
    <row r="29" spans="1:7" x14ac:dyDescent="0.2">
      <c r="A29" s="89">
        <v>27</v>
      </c>
      <c r="B29" s="69" t="s">
        <v>281</v>
      </c>
      <c r="E29">
        <v>6</v>
      </c>
      <c r="G29">
        <v>6</v>
      </c>
    </row>
    <row r="30" spans="1:7" x14ac:dyDescent="0.2">
      <c r="A30" s="89">
        <v>28</v>
      </c>
      <c r="B30" s="69" t="s">
        <v>606</v>
      </c>
      <c r="C30">
        <v>5</v>
      </c>
      <c r="G30">
        <v>5</v>
      </c>
    </row>
    <row r="31" spans="1:7" x14ac:dyDescent="0.2">
      <c r="A31" s="89">
        <v>29</v>
      </c>
      <c r="B31" s="69" t="s">
        <v>201</v>
      </c>
      <c r="C31">
        <v>4</v>
      </c>
      <c r="F31">
        <v>1</v>
      </c>
      <c r="G31">
        <v>5</v>
      </c>
    </row>
    <row r="32" spans="1:7" x14ac:dyDescent="0.2">
      <c r="A32" s="89">
        <v>30</v>
      </c>
      <c r="B32" s="69" t="s">
        <v>243</v>
      </c>
      <c r="C32">
        <v>5</v>
      </c>
      <c r="G32">
        <v>5</v>
      </c>
    </row>
    <row r="33" spans="1:7" x14ac:dyDescent="0.2">
      <c r="A33" s="89">
        <v>31</v>
      </c>
      <c r="B33" s="69" t="s">
        <v>742</v>
      </c>
      <c r="E33">
        <v>5</v>
      </c>
      <c r="G33">
        <v>5</v>
      </c>
    </row>
    <row r="34" spans="1:7" x14ac:dyDescent="0.2">
      <c r="A34" s="89">
        <v>32</v>
      </c>
      <c r="B34" s="69" t="s">
        <v>111</v>
      </c>
      <c r="C34">
        <v>5</v>
      </c>
      <c r="G34">
        <v>5</v>
      </c>
    </row>
    <row r="35" spans="1:7" x14ac:dyDescent="0.2">
      <c r="A35" s="89">
        <v>33</v>
      </c>
      <c r="B35" s="69" t="s">
        <v>447</v>
      </c>
      <c r="C35">
        <v>2</v>
      </c>
      <c r="E35">
        <v>3</v>
      </c>
      <c r="G35">
        <v>5</v>
      </c>
    </row>
    <row r="36" spans="1:7" x14ac:dyDescent="0.2">
      <c r="A36" s="89">
        <v>34</v>
      </c>
      <c r="B36" s="69" t="s">
        <v>1055</v>
      </c>
      <c r="D36">
        <v>4</v>
      </c>
      <c r="G36">
        <v>4</v>
      </c>
    </row>
    <row r="37" spans="1:7" x14ac:dyDescent="0.2">
      <c r="A37" s="89">
        <v>35</v>
      </c>
      <c r="B37" s="69" t="s">
        <v>1062</v>
      </c>
      <c r="F37">
        <v>4</v>
      </c>
      <c r="G37">
        <v>4</v>
      </c>
    </row>
    <row r="38" spans="1:7" x14ac:dyDescent="0.2">
      <c r="A38" s="89">
        <v>36</v>
      </c>
      <c r="B38" s="69" t="s">
        <v>135</v>
      </c>
      <c r="C38">
        <v>4</v>
      </c>
      <c r="G38">
        <v>4</v>
      </c>
    </row>
    <row r="39" spans="1:7" x14ac:dyDescent="0.2">
      <c r="A39" s="89">
        <v>37</v>
      </c>
      <c r="B39" s="69" t="s">
        <v>245</v>
      </c>
      <c r="C39">
        <v>4</v>
      </c>
      <c r="G39">
        <v>4</v>
      </c>
    </row>
    <row r="40" spans="1:7" x14ac:dyDescent="0.2">
      <c r="A40" s="89">
        <v>38</v>
      </c>
      <c r="B40" s="69" t="s">
        <v>213</v>
      </c>
      <c r="D40">
        <v>4</v>
      </c>
      <c r="G40">
        <v>4</v>
      </c>
    </row>
    <row r="41" spans="1:7" x14ac:dyDescent="0.2">
      <c r="A41" s="89">
        <v>39</v>
      </c>
      <c r="B41" s="69" t="s">
        <v>421</v>
      </c>
      <c r="E41">
        <v>4</v>
      </c>
      <c r="G41">
        <v>4</v>
      </c>
    </row>
    <row r="42" spans="1:7" x14ac:dyDescent="0.2">
      <c r="A42" s="89">
        <v>40</v>
      </c>
      <c r="B42" s="69" t="s">
        <v>1010</v>
      </c>
      <c r="E42">
        <v>4</v>
      </c>
      <c r="G42">
        <v>4</v>
      </c>
    </row>
    <row r="43" spans="1:7" x14ac:dyDescent="0.2">
      <c r="A43" s="89">
        <v>41</v>
      </c>
      <c r="B43" s="69" t="s">
        <v>1372</v>
      </c>
      <c r="E43">
        <v>4</v>
      </c>
      <c r="G43">
        <v>4</v>
      </c>
    </row>
    <row r="44" spans="1:7" x14ac:dyDescent="0.2">
      <c r="A44" s="89">
        <v>42</v>
      </c>
      <c r="B44" s="69" t="s">
        <v>102</v>
      </c>
      <c r="D44">
        <v>4</v>
      </c>
      <c r="G44">
        <v>4</v>
      </c>
    </row>
    <row r="45" spans="1:7" x14ac:dyDescent="0.2">
      <c r="A45" s="89">
        <v>43</v>
      </c>
      <c r="B45" s="69" t="s">
        <v>951</v>
      </c>
      <c r="D45">
        <v>1</v>
      </c>
      <c r="E45">
        <v>2</v>
      </c>
      <c r="F45">
        <v>1</v>
      </c>
      <c r="G45">
        <v>4</v>
      </c>
    </row>
    <row r="46" spans="1:7" x14ac:dyDescent="0.2">
      <c r="A46" s="89">
        <v>44</v>
      </c>
      <c r="B46" s="69" t="s">
        <v>364</v>
      </c>
      <c r="E46">
        <v>4</v>
      </c>
      <c r="G46">
        <v>4</v>
      </c>
    </row>
    <row r="47" spans="1:7" x14ac:dyDescent="0.2">
      <c r="A47" s="89">
        <v>45</v>
      </c>
      <c r="B47" s="69" t="s">
        <v>1144</v>
      </c>
      <c r="F47">
        <v>3</v>
      </c>
      <c r="G47">
        <v>3</v>
      </c>
    </row>
    <row r="48" spans="1:7" x14ac:dyDescent="0.2">
      <c r="A48" s="89">
        <v>46</v>
      </c>
      <c r="B48" s="69" t="s">
        <v>438</v>
      </c>
      <c r="E48">
        <v>3</v>
      </c>
      <c r="G48">
        <v>3</v>
      </c>
    </row>
    <row r="49" spans="1:7" x14ac:dyDescent="0.2">
      <c r="A49" s="89">
        <v>47</v>
      </c>
      <c r="B49" s="69" t="s">
        <v>156</v>
      </c>
      <c r="C49">
        <v>3</v>
      </c>
      <c r="G49">
        <v>3</v>
      </c>
    </row>
    <row r="50" spans="1:7" x14ac:dyDescent="0.2">
      <c r="A50" s="89">
        <v>48</v>
      </c>
      <c r="B50" s="69" t="s">
        <v>108</v>
      </c>
      <c r="E50">
        <v>3</v>
      </c>
      <c r="G50">
        <v>3</v>
      </c>
    </row>
    <row r="51" spans="1:7" x14ac:dyDescent="0.2">
      <c r="A51" s="89">
        <v>49</v>
      </c>
      <c r="B51" s="69" t="s">
        <v>496</v>
      </c>
      <c r="C51">
        <v>3</v>
      </c>
      <c r="G51">
        <v>3</v>
      </c>
    </row>
    <row r="52" spans="1:7" x14ac:dyDescent="0.2">
      <c r="A52" s="89">
        <v>50</v>
      </c>
      <c r="B52" s="69" t="s">
        <v>160</v>
      </c>
      <c r="D52">
        <v>3</v>
      </c>
      <c r="G52">
        <v>3</v>
      </c>
    </row>
    <row r="53" spans="1:7" x14ac:dyDescent="0.2">
      <c r="A53" s="89">
        <v>51</v>
      </c>
      <c r="B53" s="69" t="s">
        <v>133</v>
      </c>
      <c r="C53">
        <v>3</v>
      </c>
      <c r="G53">
        <v>3</v>
      </c>
    </row>
    <row r="54" spans="1:7" x14ac:dyDescent="0.2">
      <c r="A54" s="89">
        <v>52</v>
      </c>
      <c r="B54" s="69" t="s">
        <v>139</v>
      </c>
      <c r="E54">
        <v>3</v>
      </c>
      <c r="G54">
        <v>3</v>
      </c>
    </row>
    <row r="55" spans="1:7" x14ac:dyDescent="0.2">
      <c r="A55" s="89">
        <v>53</v>
      </c>
      <c r="B55" s="69" t="s">
        <v>296</v>
      </c>
      <c r="C55">
        <v>3</v>
      </c>
      <c r="G55">
        <v>3</v>
      </c>
    </row>
    <row r="56" spans="1:7" x14ac:dyDescent="0.2">
      <c r="A56" s="89">
        <v>54</v>
      </c>
      <c r="B56" s="69" t="s">
        <v>149</v>
      </c>
      <c r="C56">
        <v>3</v>
      </c>
      <c r="G56">
        <v>3</v>
      </c>
    </row>
    <row r="57" spans="1:7" x14ac:dyDescent="0.2">
      <c r="A57" s="89">
        <v>55</v>
      </c>
      <c r="B57" s="69" t="s">
        <v>372</v>
      </c>
      <c r="C57">
        <v>3</v>
      </c>
      <c r="G57">
        <v>3</v>
      </c>
    </row>
    <row r="58" spans="1:7" x14ac:dyDescent="0.2">
      <c r="A58" s="89">
        <v>56</v>
      </c>
      <c r="B58" s="69" t="s">
        <v>158</v>
      </c>
      <c r="E58">
        <v>3</v>
      </c>
      <c r="G58">
        <v>3</v>
      </c>
    </row>
    <row r="59" spans="1:7" x14ac:dyDescent="0.2">
      <c r="A59" s="89">
        <v>57</v>
      </c>
      <c r="B59" s="69" t="s">
        <v>846</v>
      </c>
      <c r="F59">
        <v>3</v>
      </c>
      <c r="G59">
        <v>3</v>
      </c>
    </row>
    <row r="60" spans="1:7" x14ac:dyDescent="0.2">
      <c r="A60" s="89">
        <v>58</v>
      </c>
      <c r="B60" s="69" t="s">
        <v>506</v>
      </c>
      <c r="E60">
        <v>3</v>
      </c>
      <c r="G60">
        <v>3</v>
      </c>
    </row>
    <row r="61" spans="1:7" x14ac:dyDescent="0.2">
      <c r="A61" s="89">
        <v>59</v>
      </c>
      <c r="B61" s="69" t="s">
        <v>254</v>
      </c>
      <c r="E61">
        <v>3</v>
      </c>
      <c r="G61">
        <v>3</v>
      </c>
    </row>
    <row r="62" spans="1:7" x14ac:dyDescent="0.2">
      <c r="A62" s="89">
        <v>60</v>
      </c>
      <c r="B62" s="69" t="s">
        <v>436</v>
      </c>
      <c r="E62">
        <v>3</v>
      </c>
      <c r="G62">
        <v>3</v>
      </c>
    </row>
    <row r="63" spans="1:7" x14ac:dyDescent="0.2">
      <c r="A63" s="89">
        <v>61</v>
      </c>
      <c r="B63" s="69" t="s">
        <v>397</v>
      </c>
      <c r="E63">
        <v>3</v>
      </c>
      <c r="G63">
        <v>3</v>
      </c>
    </row>
    <row r="64" spans="1:7" x14ac:dyDescent="0.2">
      <c r="A64" s="89">
        <v>62</v>
      </c>
      <c r="B64" s="69" t="s">
        <v>513</v>
      </c>
      <c r="C64">
        <v>3</v>
      </c>
      <c r="G64">
        <v>3</v>
      </c>
    </row>
    <row r="65" spans="1:7" x14ac:dyDescent="0.2">
      <c r="A65" s="89">
        <v>63</v>
      </c>
      <c r="B65" s="69" t="s">
        <v>302</v>
      </c>
      <c r="E65">
        <v>3</v>
      </c>
      <c r="G65">
        <v>3</v>
      </c>
    </row>
    <row r="66" spans="1:7" x14ac:dyDescent="0.2">
      <c r="A66" s="89">
        <v>64</v>
      </c>
      <c r="B66" s="69" t="s">
        <v>781</v>
      </c>
      <c r="F66">
        <v>3</v>
      </c>
      <c r="G66">
        <v>3</v>
      </c>
    </row>
    <row r="67" spans="1:7" x14ac:dyDescent="0.2">
      <c r="A67" s="89">
        <v>65</v>
      </c>
      <c r="B67" s="69" t="s">
        <v>544</v>
      </c>
      <c r="E67">
        <v>3</v>
      </c>
      <c r="G67">
        <v>3</v>
      </c>
    </row>
    <row r="68" spans="1:7" x14ac:dyDescent="0.2">
      <c r="A68" s="89">
        <v>66</v>
      </c>
      <c r="B68" s="69" t="s">
        <v>1280</v>
      </c>
      <c r="E68">
        <v>3</v>
      </c>
      <c r="G68">
        <v>3</v>
      </c>
    </row>
    <row r="69" spans="1:7" x14ac:dyDescent="0.2">
      <c r="A69" s="89">
        <v>67</v>
      </c>
      <c r="B69" s="69" t="s">
        <v>822</v>
      </c>
      <c r="F69">
        <v>3</v>
      </c>
      <c r="G69">
        <v>3</v>
      </c>
    </row>
    <row r="70" spans="1:7" x14ac:dyDescent="0.2">
      <c r="A70" s="89">
        <v>68</v>
      </c>
      <c r="B70" s="69" t="s">
        <v>428</v>
      </c>
      <c r="E70">
        <v>3</v>
      </c>
      <c r="G70">
        <v>3</v>
      </c>
    </row>
    <row r="71" spans="1:7" x14ac:dyDescent="0.2">
      <c r="A71" s="89">
        <v>69</v>
      </c>
      <c r="B71" s="69" t="s">
        <v>272</v>
      </c>
      <c r="C71">
        <v>3</v>
      </c>
      <c r="G71">
        <v>3</v>
      </c>
    </row>
    <row r="72" spans="1:7" x14ac:dyDescent="0.2">
      <c r="A72" s="89">
        <v>70</v>
      </c>
      <c r="B72" s="69" t="s">
        <v>1375</v>
      </c>
      <c r="D72">
        <v>3</v>
      </c>
      <c r="G72">
        <v>3</v>
      </c>
    </row>
    <row r="73" spans="1:7" x14ac:dyDescent="0.2">
      <c r="A73" s="89">
        <v>71</v>
      </c>
      <c r="B73" s="69" t="s">
        <v>498</v>
      </c>
      <c r="D73">
        <v>2</v>
      </c>
      <c r="G73">
        <v>2</v>
      </c>
    </row>
    <row r="74" spans="1:7" x14ac:dyDescent="0.2">
      <c r="A74" s="89">
        <v>72</v>
      </c>
      <c r="B74" s="69" t="s">
        <v>154</v>
      </c>
      <c r="C74">
        <v>2</v>
      </c>
      <c r="G74">
        <v>2</v>
      </c>
    </row>
    <row r="75" spans="1:7" x14ac:dyDescent="0.2">
      <c r="A75" s="89">
        <v>73</v>
      </c>
      <c r="B75" s="69" t="s">
        <v>1137</v>
      </c>
      <c r="E75">
        <v>2</v>
      </c>
      <c r="G75">
        <v>2</v>
      </c>
    </row>
    <row r="76" spans="1:7" x14ac:dyDescent="0.2">
      <c r="A76" s="89">
        <v>74</v>
      </c>
      <c r="B76" s="69" t="s">
        <v>608</v>
      </c>
      <c r="C76">
        <v>2</v>
      </c>
      <c r="G76">
        <v>2</v>
      </c>
    </row>
    <row r="77" spans="1:7" x14ac:dyDescent="0.2">
      <c r="A77" s="89">
        <v>75</v>
      </c>
      <c r="B77" s="69" t="s">
        <v>381</v>
      </c>
      <c r="C77">
        <v>2</v>
      </c>
      <c r="G77">
        <v>2</v>
      </c>
    </row>
    <row r="78" spans="1:7" x14ac:dyDescent="0.2">
      <c r="A78" s="89">
        <v>76</v>
      </c>
      <c r="B78" s="69" t="s">
        <v>354</v>
      </c>
      <c r="E78">
        <v>2</v>
      </c>
      <c r="G78">
        <v>2</v>
      </c>
    </row>
    <row r="79" spans="1:7" x14ac:dyDescent="0.2">
      <c r="A79" s="89">
        <v>77</v>
      </c>
      <c r="B79" s="69" t="s">
        <v>1079</v>
      </c>
      <c r="E79">
        <v>2</v>
      </c>
      <c r="G79">
        <v>2</v>
      </c>
    </row>
    <row r="80" spans="1:7" x14ac:dyDescent="0.2">
      <c r="A80" s="89">
        <v>78</v>
      </c>
      <c r="B80" s="69" t="s">
        <v>740</v>
      </c>
      <c r="E80">
        <v>2</v>
      </c>
      <c r="G80">
        <v>2</v>
      </c>
    </row>
    <row r="81" spans="1:7" x14ac:dyDescent="0.2">
      <c r="A81" s="89">
        <v>79</v>
      </c>
      <c r="B81" s="69" t="s">
        <v>1454</v>
      </c>
      <c r="D81">
        <v>2</v>
      </c>
      <c r="G81">
        <v>2</v>
      </c>
    </row>
    <row r="82" spans="1:7" x14ac:dyDescent="0.2">
      <c r="A82" s="89">
        <v>80</v>
      </c>
      <c r="B82" s="69" t="s">
        <v>461</v>
      </c>
      <c r="E82">
        <v>2</v>
      </c>
      <c r="G82">
        <v>2</v>
      </c>
    </row>
    <row r="83" spans="1:7" x14ac:dyDescent="0.2">
      <c r="A83" s="89">
        <v>81</v>
      </c>
      <c r="B83" s="69" t="s">
        <v>746</v>
      </c>
      <c r="C83">
        <v>2</v>
      </c>
      <c r="G83">
        <v>2</v>
      </c>
    </row>
    <row r="84" spans="1:7" x14ac:dyDescent="0.2">
      <c r="A84" s="89">
        <v>82</v>
      </c>
      <c r="B84" s="69" t="s">
        <v>1401</v>
      </c>
      <c r="D84">
        <v>2</v>
      </c>
      <c r="G84">
        <v>2</v>
      </c>
    </row>
    <row r="85" spans="1:7" x14ac:dyDescent="0.2">
      <c r="A85" s="89">
        <v>83</v>
      </c>
      <c r="B85" s="69" t="s">
        <v>265</v>
      </c>
      <c r="D85">
        <v>2</v>
      </c>
      <c r="G85">
        <v>2</v>
      </c>
    </row>
    <row r="86" spans="1:7" x14ac:dyDescent="0.2">
      <c r="A86" s="89">
        <v>84</v>
      </c>
      <c r="B86" s="69" t="s">
        <v>230</v>
      </c>
      <c r="E86">
        <v>2</v>
      </c>
      <c r="G86">
        <v>2</v>
      </c>
    </row>
    <row r="87" spans="1:7" x14ac:dyDescent="0.2">
      <c r="A87" s="89">
        <v>85</v>
      </c>
      <c r="B87" s="69" t="s">
        <v>143</v>
      </c>
      <c r="C87">
        <v>2</v>
      </c>
      <c r="G87">
        <v>2</v>
      </c>
    </row>
    <row r="88" spans="1:7" x14ac:dyDescent="0.2">
      <c r="A88" s="89">
        <v>86</v>
      </c>
      <c r="B88" s="69" t="s">
        <v>669</v>
      </c>
      <c r="F88">
        <v>2</v>
      </c>
      <c r="G88">
        <v>2</v>
      </c>
    </row>
    <row r="89" spans="1:7" x14ac:dyDescent="0.2">
      <c r="A89" s="89">
        <v>87</v>
      </c>
      <c r="B89" s="69" t="s">
        <v>1228</v>
      </c>
      <c r="C89">
        <v>2</v>
      </c>
      <c r="G89">
        <v>2</v>
      </c>
    </row>
    <row r="90" spans="1:7" x14ac:dyDescent="0.2">
      <c r="A90" s="89">
        <v>88</v>
      </c>
      <c r="B90" s="69" t="s">
        <v>288</v>
      </c>
      <c r="D90">
        <v>2</v>
      </c>
      <c r="G90">
        <v>2</v>
      </c>
    </row>
    <row r="91" spans="1:7" x14ac:dyDescent="0.2">
      <c r="A91" s="89">
        <v>89</v>
      </c>
      <c r="B91" s="69" t="s">
        <v>718</v>
      </c>
      <c r="E91">
        <v>2</v>
      </c>
      <c r="G91">
        <v>2</v>
      </c>
    </row>
    <row r="92" spans="1:7" x14ac:dyDescent="0.2">
      <c r="A92" s="89">
        <v>90</v>
      </c>
      <c r="B92" s="69" t="s">
        <v>173</v>
      </c>
      <c r="F92">
        <v>2</v>
      </c>
      <c r="G92">
        <v>2</v>
      </c>
    </row>
    <row r="93" spans="1:7" x14ac:dyDescent="0.2">
      <c r="A93" s="89">
        <v>91</v>
      </c>
      <c r="B93" s="69" t="s">
        <v>703</v>
      </c>
      <c r="D93">
        <v>2</v>
      </c>
      <c r="G93">
        <v>2</v>
      </c>
    </row>
    <row r="94" spans="1:7" x14ac:dyDescent="0.2">
      <c r="A94" s="89">
        <v>92</v>
      </c>
      <c r="B94" s="69" t="s">
        <v>815</v>
      </c>
      <c r="F94">
        <v>2</v>
      </c>
      <c r="G94">
        <v>2</v>
      </c>
    </row>
    <row r="95" spans="1:7" x14ac:dyDescent="0.2">
      <c r="A95" s="89">
        <v>93</v>
      </c>
      <c r="B95" s="69" t="s">
        <v>306</v>
      </c>
      <c r="D95">
        <v>2</v>
      </c>
      <c r="G95">
        <v>2</v>
      </c>
    </row>
    <row r="96" spans="1:7" x14ac:dyDescent="0.2">
      <c r="A96" s="89">
        <v>94</v>
      </c>
      <c r="B96" s="69" t="s">
        <v>193</v>
      </c>
      <c r="C96">
        <v>2</v>
      </c>
      <c r="G96">
        <v>2</v>
      </c>
    </row>
    <row r="97" spans="1:7" x14ac:dyDescent="0.2">
      <c r="A97" s="89">
        <v>95</v>
      </c>
      <c r="B97" s="69" t="s">
        <v>130</v>
      </c>
      <c r="E97">
        <v>2</v>
      </c>
      <c r="G97">
        <v>2</v>
      </c>
    </row>
    <row r="98" spans="1:7" x14ac:dyDescent="0.2">
      <c r="A98" s="89">
        <v>96</v>
      </c>
      <c r="B98" s="69" t="s">
        <v>1058</v>
      </c>
      <c r="E98">
        <v>2</v>
      </c>
      <c r="G98">
        <v>2</v>
      </c>
    </row>
    <row r="99" spans="1:7" x14ac:dyDescent="0.2">
      <c r="A99" s="89">
        <v>97</v>
      </c>
      <c r="B99" s="69" t="s">
        <v>930</v>
      </c>
      <c r="C99">
        <v>2</v>
      </c>
      <c r="G99">
        <v>2</v>
      </c>
    </row>
    <row r="100" spans="1:7" x14ac:dyDescent="0.2">
      <c r="A100" s="89">
        <v>98</v>
      </c>
      <c r="B100" s="69" t="s">
        <v>141</v>
      </c>
      <c r="D100">
        <v>2</v>
      </c>
      <c r="G100">
        <v>2</v>
      </c>
    </row>
    <row r="101" spans="1:7" x14ac:dyDescent="0.2">
      <c r="A101" s="89">
        <v>99</v>
      </c>
      <c r="B101" s="69" t="s">
        <v>242</v>
      </c>
      <c r="D101">
        <v>2</v>
      </c>
      <c r="G101">
        <v>2</v>
      </c>
    </row>
    <row r="102" spans="1:7" x14ac:dyDescent="0.2">
      <c r="A102" s="89">
        <v>100</v>
      </c>
      <c r="B102" s="69" t="s">
        <v>542</v>
      </c>
      <c r="E102">
        <v>2</v>
      </c>
      <c r="G102">
        <v>2</v>
      </c>
    </row>
    <row r="103" spans="1:7" x14ac:dyDescent="0.2">
      <c r="A103" s="89">
        <v>101</v>
      </c>
      <c r="B103" s="69" t="s">
        <v>1029</v>
      </c>
      <c r="F103">
        <v>2</v>
      </c>
      <c r="G103">
        <v>2</v>
      </c>
    </row>
    <row r="104" spans="1:7" x14ac:dyDescent="0.2">
      <c r="A104" s="89">
        <v>102</v>
      </c>
      <c r="B104" s="69" t="s">
        <v>715</v>
      </c>
      <c r="F104">
        <v>2</v>
      </c>
      <c r="G104">
        <v>2</v>
      </c>
    </row>
    <row r="105" spans="1:7" x14ac:dyDescent="0.2">
      <c r="A105" s="89">
        <v>103</v>
      </c>
      <c r="B105" s="69" t="s">
        <v>1046</v>
      </c>
      <c r="E105">
        <v>2</v>
      </c>
      <c r="G105">
        <v>2</v>
      </c>
    </row>
    <row r="106" spans="1:7" x14ac:dyDescent="0.2">
      <c r="A106" s="89">
        <v>104</v>
      </c>
      <c r="B106" s="69" t="s">
        <v>198</v>
      </c>
      <c r="C106">
        <v>2</v>
      </c>
      <c r="G106">
        <v>2</v>
      </c>
    </row>
    <row r="107" spans="1:7" x14ac:dyDescent="0.2">
      <c r="A107" s="89">
        <v>105</v>
      </c>
      <c r="B107" s="69" t="s">
        <v>1092</v>
      </c>
      <c r="D107">
        <v>2</v>
      </c>
      <c r="G107">
        <v>2</v>
      </c>
    </row>
    <row r="108" spans="1:7" x14ac:dyDescent="0.2">
      <c r="A108" s="89">
        <v>106</v>
      </c>
      <c r="B108" s="69" t="s">
        <v>636</v>
      </c>
      <c r="C108">
        <v>2</v>
      </c>
      <c r="G108">
        <v>2</v>
      </c>
    </row>
    <row r="109" spans="1:7" x14ac:dyDescent="0.2">
      <c r="A109" s="89">
        <v>107</v>
      </c>
      <c r="B109" s="69" t="s">
        <v>1122</v>
      </c>
      <c r="E109">
        <v>2</v>
      </c>
      <c r="G109">
        <v>2</v>
      </c>
    </row>
    <row r="110" spans="1:7" x14ac:dyDescent="0.2">
      <c r="A110" s="89">
        <v>108</v>
      </c>
      <c r="B110" s="69" t="s">
        <v>376</v>
      </c>
      <c r="E110">
        <v>2</v>
      </c>
      <c r="G110">
        <v>2</v>
      </c>
    </row>
    <row r="111" spans="1:7" x14ac:dyDescent="0.2">
      <c r="A111" s="89">
        <v>109</v>
      </c>
      <c r="B111" s="69" t="s">
        <v>1325</v>
      </c>
      <c r="E111">
        <v>2</v>
      </c>
      <c r="G111">
        <v>2</v>
      </c>
    </row>
    <row r="112" spans="1:7" x14ac:dyDescent="0.2">
      <c r="A112" s="89">
        <v>110</v>
      </c>
      <c r="B112" s="69" t="s">
        <v>321</v>
      </c>
      <c r="D112">
        <v>2</v>
      </c>
      <c r="G112">
        <v>2</v>
      </c>
    </row>
    <row r="113" spans="1:7" x14ac:dyDescent="0.2">
      <c r="A113" s="89">
        <v>111</v>
      </c>
      <c r="B113" s="69" t="s">
        <v>308</v>
      </c>
      <c r="D113">
        <v>2</v>
      </c>
      <c r="G113">
        <v>2</v>
      </c>
    </row>
    <row r="114" spans="1:7" x14ac:dyDescent="0.2">
      <c r="A114" s="89">
        <v>112</v>
      </c>
      <c r="B114" s="69" t="s">
        <v>503</v>
      </c>
      <c r="E114">
        <v>2</v>
      </c>
      <c r="G114">
        <v>2</v>
      </c>
    </row>
    <row r="115" spans="1:7" x14ac:dyDescent="0.2">
      <c r="A115" s="89">
        <v>113</v>
      </c>
      <c r="B115" s="69" t="s">
        <v>340</v>
      </c>
      <c r="F115">
        <v>2</v>
      </c>
      <c r="G115">
        <v>2</v>
      </c>
    </row>
    <row r="116" spans="1:7" x14ac:dyDescent="0.2">
      <c r="A116" s="89">
        <v>114</v>
      </c>
      <c r="B116" s="69" t="s">
        <v>689</v>
      </c>
      <c r="E116">
        <v>2</v>
      </c>
      <c r="G116">
        <v>2</v>
      </c>
    </row>
    <row r="117" spans="1:7" x14ac:dyDescent="0.2">
      <c r="A117" s="89">
        <v>115</v>
      </c>
      <c r="B117" s="69" t="s">
        <v>430</v>
      </c>
      <c r="E117">
        <v>2</v>
      </c>
      <c r="G117">
        <v>2</v>
      </c>
    </row>
    <row r="118" spans="1:7" x14ac:dyDescent="0.2">
      <c r="A118" s="89">
        <v>116</v>
      </c>
      <c r="B118" s="69" t="s">
        <v>106</v>
      </c>
      <c r="E118">
        <v>1</v>
      </c>
      <c r="G118">
        <v>1</v>
      </c>
    </row>
    <row r="119" spans="1:7" x14ac:dyDescent="0.2">
      <c r="A119" s="89">
        <v>117</v>
      </c>
      <c r="B119" s="69" t="s">
        <v>626</v>
      </c>
      <c r="E119">
        <v>1</v>
      </c>
      <c r="G119">
        <v>1</v>
      </c>
    </row>
    <row r="120" spans="1:7" x14ac:dyDescent="0.2">
      <c r="A120" s="89">
        <v>118</v>
      </c>
      <c r="B120" s="69" t="s">
        <v>335</v>
      </c>
      <c r="D120">
        <v>1</v>
      </c>
      <c r="G120">
        <v>1</v>
      </c>
    </row>
    <row r="121" spans="1:7" x14ac:dyDescent="0.2">
      <c r="A121" s="89">
        <v>119</v>
      </c>
      <c r="B121" s="69" t="s">
        <v>204</v>
      </c>
      <c r="C121">
        <v>1</v>
      </c>
      <c r="G121">
        <v>1</v>
      </c>
    </row>
    <row r="122" spans="1:7" x14ac:dyDescent="0.2">
      <c r="A122" s="89">
        <v>120</v>
      </c>
      <c r="B122" s="69" t="s">
        <v>249</v>
      </c>
      <c r="E122">
        <v>1</v>
      </c>
      <c r="G122">
        <v>1</v>
      </c>
    </row>
    <row r="123" spans="1:7" x14ac:dyDescent="0.2">
      <c r="A123" s="89">
        <v>121</v>
      </c>
      <c r="B123" s="69" t="s">
        <v>954</v>
      </c>
      <c r="C123">
        <v>1</v>
      </c>
      <c r="G123">
        <v>1</v>
      </c>
    </row>
    <row r="124" spans="1:7" x14ac:dyDescent="0.2">
      <c r="A124" s="89">
        <v>122</v>
      </c>
      <c r="B124" s="69" t="s">
        <v>1343</v>
      </c>
      <c r="D124">
        <v>1</v>
      </c>
      <c r="G124">
        <v>1</v>
      </c>
    </row>
    <row r="125" spans="1:7" x14ac:dyDescent="0.2">
      <c r="A125" s="89">
        <v>123</v>
      </c>
      <c r="B125" s="69" t="s">
        <v>255</v>
      </c>
      <c r="C125">
        <v>1</v>
      </c>
      <c r="G125">
        <v>1</v>
      </c>
    </row>
    <row r="126" spans="1:7" x14ac:dyDescent="0.2">
      <c r="A126" s="89">
        <v>124</v>
      </c>
      <c r="B126" s="69" t="s">
        <v>1269</v>
      </c>
      <c r="C126">
        <v>1</v>
      </c>
      <c r="G126">
        <v>1</v>
      </c>
    </row>
    <row r="127" spans="1:7" x14ac:dyDescent="0.2">
      <c r="A127" s="89">
        <v>125</v>
      </c>
      <c r="B127" s="69" t="s">
        <v>1461</v>
      </c>
      <c r="D127">
        <v>1</v>
      </c>
      <c r="G127">
        <v>1</v>
      </c>
    </row>
    <row r="128" spans="1:7" x14ac:dyDescent="0.2">
      <c r="A128" s="89">
        <v>126</v>
      </c>
      <c r="B128" s="69" t="s">
        <v>643</v>
      </c>
      <c r="C128">
        <v>1</v>
      </c>
      <c r="G128">
        <v>1</v>
      </c>
    </row>
    <row r="129" spans="1:7" x14ac:dyDescent="0.2">
      <c r="A129" s="89">
        <v>127</v>
      </c>
      <c r="B129" s="69" t="s">
        <v>452</v>
      </c>
      <c r="C129">
        <v>1</v>
      </c>
      <c r="G129">
        <v>1</v>
      </c>
    </row>
    <row r="130" spans="1:7" x14ac:dyDescent="0.2">
      <c r="A130" s="89">
        <v>128</v>
      </c>
      <c r="B130" s="69" t="s">
        <v>277</v>
      </c>
      <c r="C130">
        <v>1</v>
      </c>
      <c r="G130">
        <v>1</v>
      </c>
    </row>
    <row r="131" spans="1:7" x14ac:dyDescent="0.2">
      <c r="A131" s="89">
        <v>129</v>
      </c>
      <c r="B131" s="69" t="s">
        <v>549</v>
      </c>
      <c r="E131">
        <v>1</v>
      </c>
      <c r="G131">
        <v>1</v>
      </c>
    </row>
    <row r="132" spans="1:7" x14ac:dyDescent="0.2">
      <c r="A132" s="89">
        <v>130</v>
      </c>
      <c r="B132" s="69" t="s">
        <v>164</v>
      </c>
      <c r="D132">
        <v>1</v>
      </c>
      <c r="G132">
        <v>1</v>
      </c>
    </row>
    <row r="133" spans="1:7" x14ac:dyDescent="0.2">
      <c r="A133" s="89">
        <v>131</v>
      </c>
      <c r="B133" s="69" t="s">
        <v>1200</v>
      </c>
      <c r="F133">
        <v>1</v>
      </c>
      <c r="G133">
        <v>1</v>
      </c>
    </row>
    <row r="134" spans="1:7" x14ac:dyDescent="0.2">
      <c r="A134" s="89">
        <v>132</v>
      </c>
      <c r="B134" s="69" t="s">
        <v>616</v>
      </c>
      <c r="C134">
        <v>1</v>
      </c>
      <c r="G134">
        <v>1</v>
      </c>
    </row>
    <row r="135" spans="1:7" x14ac:dyDescent="0.2">
      <c r="A135" s="89">
        <v>133</v>
      </c>
      <c r="B135" s="69" t="s">
        <v>560</v>
      </c>
      <c r="F135">
        <v>1</v>
      </c>
      <c r="G135">
        <v>1</v>
      </c>
    </row>
    <row r="136" spans="1:7" x14ac:dyDescent="0.2">
      <c r="A136" s="89">
        <v>134</v>
      </c>
      <c r="B136" s="69" t="s">
        <v>403</v>
      </c>
      <c r="C136">
        <v>1</v>
      </c>
      <c r="G136">
        <v>1</v>
      </c>
    </row>
    <row r="137" spans="1:7" x14ac:dyDescent="0.2">
      <c r="A137" s="89">
        <v>135</v>
      </c>
      <c r="B137" s="69" t="s">
        <v>920</v>
      </c>
      <c r="D137">
        <v>1</v>
      </c>
      <c r="G137">
        <v>1</v>
      </c>
    </row>
    <row r="138" spans="1:7" x14ac:dyDescent="0.2">
      <c r="A138" s="89">
        <v>136</v>
      </c>
      <c r="B138" s="69" t="s">
        <v>1117</v>
      </c>
      <c r="F138">
        <v>1</v>
      </c>
      <c r="G138">
        <v>1</v>
      </c>
    </row>
    <row r="139" spans="1:7" x14ac:dyDescent="0.2">
      <c r="A139" s="89">
        <v>137</v>
      </c>
      <c r="B139" s="69" t="s">
        <v>1327</v>
      </c>
      <c r="F139">
        <v>1</v>
      </c>
      <c r="G139">
        <v>1</v>
      </c>
    </row>
    <row r="140" spans="1:7" x14ac:dyDescent="0.2">
      <c r="A140" s="89">
        <v>138</v>
      </c>
      <c r="B140" s="69" t="s">
        <v>1109</v>
      </c>
      <c r="E140">
        <v>1</v>
      </c>
      <c r="G140">
        <v>1</v>
      </c>
    </row>
    <row r="141" spans="1:7" x14ac:dyDescent="0.2">
      <c r="A141" s="89">
        <v>139</v>
      </c>
      <c r="B141" s="69" t="s">
        <v>552</v>
      </c>
      <c r="D141">
        <v>1</v>
      </c>
      <c r="G141">
        <v>1</v>
      </c>
    </row>
    <row r="142" spans="1:7" x14ac:dyDescent="0.2">
      <c r="A142" s="89">
        <v>140</v>
      </c>
      <c r="B142" s="69" t="s">
        <v>1148</v>
      </c>
      <c r="E142">
        <v>1</v>
      </c>
      <c r="G142">
        <v>1</v>
      </c>
    </row>
    <row r="143" spans="1:7" x14ac:dyDescent="0.2">
      <c r="A143" s="89">
        <v>141</v>
      </c>
      <c r="B143" s="69" t="s">
        <v>260</v>
      </c>
      <c r="F143">
        <v>1</v>
      </c>
      <c r="G143">
        <v>1</v>
      </c>
    </row>
    <row r="144" spans="1:7" x14ac:dyDescent="0.2">
      <c r="A144" s="89">
        <v>142</v>
      </c>
      <c r="B144" s="69" t="s">
        <v>1304</v>
      </c>
      <c r="E144">
        <v>1</v>
      </c>
      <c r="G144">
        <v>1</v>
      </c>
    </row>
    <row r="145" spans="1:7" x14ac:dyDescent="0.2">
      <c r="A145" s="89">
        <v>143</v>
      </c>
      <c r="B145" s="69" t="s">
        <v>832</v>
      </c>
      <c r="F145">
        <v>1</v>
      </c>
      <c r="G145">
        <v>1</v>
      </c>
    </row>
    <row r="146" spans="1:7" x14ac:dyDescent="0.2">
      <c r="A146" s="89">
        <v>144</v>
      </c>
      <c r="B146" s="69" t="s">
        <v>1388</v>
      </c>
      <c r="C146">
        <v>1</v>
      </c>
      <c r="G146">
        <v>1</v>
      </c>
    </row>
    <row r="147" spans="1:7" x14ac:dyDescent="0.2">
      <c r="A147" s="89">
        <v>145</v>
      </c>
      <c r="B147" s="69" t="s">
        <v>495</v>
      </c>
      <c r="C147">
        <v>1</v>
      </c>
      <c r="G147">
        <v>1</v>
      </c>
    </row>
    <row r="148" spans="1:7" x14ac:dyDescent="0.2">
      <c r="A148" s="89">
        <v>146</v>
      </c>
      <c r="B148" s="69" t="s">
        <v>390</v>
      </c>
      <c r="F148">
        <v>1</v>
      </c>
      <c r="G148">
        <v>1</v>
      </c>
    </row>
    <row r="149" spans="1:7" x14ac:dyDescent="0.2">
      <c r="A149" s="89">
        <v>147</v>
      </c>
      <c r="B149" s="69" t="s">
        <v>787</v>
      </c>
      <c r="D149">
        <v>1</v>
      </c>
      <c r="G149">
        <v>1</v>
      </c>
    </row>
    <row r="150" spans="1:7" x14ac:dyDescent="0.2">
      <c r="A150" s="89">
        <v>148</v>
      </c>
      <c r="B150" s="69" t="s">
        <v>210</v>
      </c>
      <c r="E150">
        <v>1</v>
      </c>
      <c r="G150">
        <v>1</v>
      </c>
    </row>
    <row r="151" spans="1:7" x14ac:dyDescent="0.2">
      <c r="A151" s="89">
        <v>149</v>
      </c>
      <c r="B151" s="69" t="s">
        <v>195</v>
      </c>
      <c r="D151">
        <v>1</v>
      </c>
      <c r="G151">
        <v>1</v>
      </c>
    </row>
    <row r="152" spans="1:7" x14ac:dyDescent="0.2">
      <c r="A152" s="89">
        <v>150</v>
      </c>
      <c r="B152" s="69" t="s">
        <v>1469</v>
      </c>
      <c r="C152">
        <v>1</v>
      </c>
      <c r="G152">
        <v>1</v>
      </c>
    </row>
    <row r="153" spans="1:7" x14ac:dyDescent="0.2">
      <c r="A153" s="89">
        <v>151</v>
      </c>
      <c r="B153" s="69" t="s">
        <v>773</v>
      </c>
      <c r="E153">
        <v>1</v>
      </c>
      <c r="G153">
        <v>1</v>
      </c>
    </row>
    <row r="154" spans="1:7" x14ac:dyDescent="0.2">
      <c r="A154" s="89">
        <v>152</v>
      </c>
      <c r="B154" s="69" t="s">
        <v>137</v>
      </c>
      <c r="C154">
        <v>1</v>
      </c>
      <c r="G154">
        <v>1</v>
      </c>
    </row>
    <row r="155" spans="1:7" x14ac:dyDescent="0.2">
      <c r="A155" s="89">
        <v>153</v>
      </c>
      <c r="B155" s="69" t="s">
        <v>1475</v>
      </c>
      <c r="D155">
        <v>1</v>
      </c>
      <c r="G155">
        <v>1</v>
      </c>
    </row>
    <row r="156" spans="1:7" x14ac:dyDescent="0.2">
      <c r="A156" s="89">
        <v>154</v>
      </c>
      <c r="B156" s="69" t="s">
        <v>36</v>
      </c>
      <c r="C156">
        <v>1</v>
      </c>
      <c r="G156">
        <v>1</v>
      </c>
    </row>
    <row r="157" spans="1:7" x14ac:dyDescent="0.2">
      <c r="A157" s="89">
        <v>155</v>
      </c>
      <c r="B157" s="69" t="s">
        <v>1101</v>
      </c>
      <c r="F157">
        <v>1</v>
      </c>
      <c r="G157">
        <v>1</v>
      </c>
    </row>
    <row r="158" spans="1:7" x14ac:dyDescent="0.2">
      <c r="A158" s="89">
        <v>156</v>
      </c>
      <c r="B158" s="69" t="s">
        <v>651</v>
      </c>
      <c r="C158">
        <v>1</v>
      </c>
      <c r="G158">
        <v>1</v>
      </c>
    </row>
    <row r="159" spans="1:7" x14ac:dyDescent="0.2">
      <c r="A159" s="89">
        <v>157</v>
      </c>
      <c r="B159" s="69" t="s">
        <v>640</v>
      </c>
      <c r="C159">
        <v>1</v>
      </c>
      <c r="G159">
        <v>1</v>
      </c>
    </row>
    <row r="160" spans="1:7" x14ac:dyDescent="0.2">
      <c r="A160" s="89">
        <v>158</v>
      </c>
      <c r="B160" s="69" t="s">
        <v>270</v>
      </c>
      <c r="F160">
        <v>1</v>
      </c>
      <c r="G160">
        <v>1</v>
      </c>
    </row>
    <row r="161" spans="1:7" x14ac:dyDescent="0.2">
      <c r="A161" s="89">
        <v>159</v>
      </c>
      <c r="B161" s="69" t="s">
        <v>1192</v>
      </c>
      <c r="D161">
        <v>1</v>
      </c>
      <c r="G161">
        <v>1</v>
      </c>
    </row>
    <row r="162" spans="1:7" x14ac:dyDescent="0.2">
      <c r="A162" s="89">
        <v>160</v>
      </c>
      <c r="B162" s="69" t="s">
        <v>902</v>
      </c>
      <c r="C162">
        <v>1</v>
      </c>
      <c r="G162">
        <v>1</v>
      </c>
    </row>
    <row r="163" spans="1:7" x14ac:dyDescent="0.2">
      <c r="A163" s="89">
        <v>161</v>
      </c>
      <c r="B163" s="69" t="s">
        <v>1478</v>
      </c>
      <c r="D163">
        <v>1</v>
      </c>
      <c r="G163">
        <v>1</v>
      </c>
    </row>
    <row r="164" spans="1:7" x14ac:dyDescent="0.2">
      <c r="A164" s="89">
        <v>162</v>
      </c>
      <c r="B164" s="69" t="s">
        <v>994</v>
      </c>
      <c r="F164">
        <v>1</v>
      </c>
      <c r="G164">
        <v>1</v>
      </c>
    </row>
    <row r="165" spans="1:7" x14ac:dyDescent="0.2">
      <c r="A165" s="89">
        <v>163</v>
      </c>
      <c r="B165" s="69" t="s">
        <v>1465</v>
      </c>
      <c r="E165">
        <v>1</v>
      </c>
      <c r="G165">
        <v>1</v>
      </c>
    </row>
    <row r="166" spans="1:7" x14ac:dyDescent="0.2">
      <c r="A166" s="89">
        <v>164</v>
      </c>
      <c r="B166" s="69" t="s">
        <v>1275</v>
      </c>
      <c r="D166">
        <v>1</v>
      </c>
      <c r="G166">
        <v>1</v>
      </c>
    </row>
    <row r="167" spans="1:7" x14ac:dyDescent="0.2">
      <c r="A167" s="89">
        <v>165</v>
      </c>
      <c r="B167" s="69" t="s">
        <v>207</v>
      </c>
      <c r="E167">
        <v>1</v>
      </c>
      <c r="G167">
        <v>1</v>
      </c>
    </row>
    <row r="168" spans="1:7" x14ac:dyDescent="0.2">
      <c r="A168" s="89">
        <v>166</v>
      </c>
      <c r="B168" s="69" t="s">
        <v>127</v>
      </c>
      <c r="E168">
        <v>1</v>
      </c>
      <c r="G168">
        <v>1</v>
      </c>
    </row>
    <row r="169" spans="1:7" x14ac:dyDescent="0.2">
      <c r="A169" s="89">
        <v>167</v>
      </c>
      <c r="B169" s="69" t="s">
        <v>445</v>
      </c>
      <c r="C169">
        <v>1</v>
      </c>
      <c r="G169">
        <v>1</v>
      </c>
    </row>
    <row r="170" spans="1:7" x14ac:dyDescent="0.2">
      <c r="A170" s="89">
        <v>168</v>
      </c>
      <c r="B170" s="69" t="s">
        <v>1153</v>
      </c>
      <c r="E170">
        <v>1</v>
      </c>
      <c r="G170">
        <v>1</v>
      </c>
    </row>
    <row r="171" spans="1:7" x14ac:dyDescent="0.2">
      <c r="A171" s="89">
        <v>169</v>
      </c>
      <c r="B171" s="69" t="s">
        <v>1006</v>
      </c>
      <c r="F171">
        <v>1</v>
      </c>
      <c r="G171">
        <v>1</v>
      </c>
    </row>
    <row r="172" spans="1:7" x14ac:dyDescent="0.2">
      <c r="A172" s="89">
        <v>170</v>
      </c>
      <c r="B172" s="69" t="s">
        <v>1351</v>
      </c>
      <c r="D172">
        <v>1</v>
      </c>
      <c r="G172">
        <v>1</v>
      </c>
    </row>
    <row r="173" spans="1:7" x14ac:dyDescent="0.2">
      <c r="A173" s="89">
        <v>171</v>
      </c>
      <c r="B173" s="69" t="s">
        <v>492</v>
      </c>
      <c r="E173">
        <v>1</v>
      </c>
      <c r="G173">
        <v>1</v>
      </c>
    </row>
    <row r="174" spans="1:7" x14ac:dyDescent="0.2">
      <c r="A174" s="89">
        <v>172</v>
      </c>
      <c r="B174" s="69" t="s">
        <v>1413</v>
      </c>
      <c r="E174">
        <v>1</v>
      </c>
      <c r="G174">
        <v>1</v>
      </c>
    </row>
    <row r="175" spans="1:7" x14ac:dyDescent="0.2">
      <c r="A175" s="89">
        <v>173</v>
      </c>
      <c r="B175" s="69" t="s">
        <v>510</v>
      </c>
      <c r="E175">
        <v>1</v>
      </c>
      <c r="G175">
        <v>1</v>
      </c>
    </row>
    <row r="176" spans="1:7" x14ac:dyDescent="0.2">
      <c r="A176" s="89">
        <v>174</v>
      </c>
      <c r="B176" s="69" t="s">
        <v>361</v>
      </c>
      <c r="C176">
        <v>1</v>
      </c>
      <c r="G176">
        <v>1</v>
      </c>
    </row>
    <row r="177" spans="2:7" x14ac:dyDescent="0.2">
      <c r="B177" s="69" t="s">
        <v>1390</v>
      </c>
      <c r="D177">
        <v>1</v>
      </c>
      <c r="G177">
        <v>1</v>
      </c>
    </row>
    <row r="178" spans="2:7" x14ac:dyDescent="0.2">
      <c r="B178" s="69" t="s">
        <v>512</v>
      </c>
      <c r="E178">
        <v>1</v>
      </c>
      <c r="G178">
        <v>1</v>
      </c>
    </row>
    <row r="179" spans="2:7" x14ac:dyDescent="0.2">
      <c r="B179" s="69" t="s">
        <v>1322</v>
      </c>
      <c r="C179">
        <v>1</v>
      </c>
      <c r="G179">
        <v>1</v>
      </c>
    </row>
    <row r="180" spans="2:7" x14ac:dyDescent="0.2">
      <c r="B180" s="69" t="s">
        <v>251</v>
      </c>
      <c r="D180">
        <v>1</v>
      </c>
      <c r="G180">
        <v>1</v>
      </c>
    </row>
    <row r="181" spans="2:7" x14ac:dyDescent="0.2">
      <c r="B181" s="69" t="s">
        <v>1268</v>
      </c>
      <c r="C181">
        <v>1</v>
      </c>
      <c r="G181">
        <v>1</v>
      </c>
    </row>
    <row r="182" spans="2:7" x14ac:dyDescent="0.2">
      <c r="B182" s="69" t="s">
        <v>312</v>
      </c>
      <c r="C182">
        <v>1</v>
      </c>
      <c r="G182">
        <v>1</v>
      </c>
    </row>
    <row r="183" spans="2:7" x14ac:dyDescent="0.2">
      <c r="B183" s="69" t="s">
        <v>693</v>
      </c>
      <c r="C183">
        <v>191</v>
      </c>
      <c r="D183">
        <v>64</v>
      </c>
      <c r="E183">
        <v>221</v>
      </c>
      <c r="F183">
        <v>102</v>
      </c>
      <c r="G183">
        <v>578</v>
      </c>
    </row>
  </sheetData>
  <conditionalFormatting sqref="C1 C275:C1048576">
    <cfRule type="aboveAverage" dxfId="5" priority="3" aboveAverage="0"/>
    <cfRule type="aboveAverage" dxfId="4" priority="4"/>
  </conditionalFormatting>
  <conditionalFormatting sqref="C275:C1048576 C1">
    <cfRule type="aboveAverage" dxfId="3" priority="5" aboveAverage="0"/>
    <cfRule type="aboveAverage" dxfId="2" priority="6"/>
  </conditionalFormatting>
  <conditionalFormatting sqref="C547:C1048576 C1">
    <cfRule type="colorScale" priority="7">
      <colorScale>
        <cfvo type="num" val="1"/>
        <cfvo type="num" val="20"/>
        <color rgb="FF002060"/>
        <color theme="8" tint="0.79998168889431442"/>
      </colorScale>
    </cfRule>
  </conditionalFormatting>
  <conditionalFormatting sqref="H1:H2 H275:H1048576">
    <cfRule type="aboveAverage" dxfId="1" priority="1" aboveAverage="0"/>
    <cfRule type="aboveAverage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D35BB-B1D5-274D-8B87-0B1E1C96BFC5}">
  <sheetPr codeName="Feuil2"/>
  <dimension ref="B1:I66"/>
  <sheetViews>
    <sheetView zoomScaleNormal="100" workbookViewId="0">
      <selection activeCell="G7" sqref="G7"/>
    </sheetView>
  </sheetViews>
  <sheetFormatPr baseColWidth="10" defaultRowHeight="16" x14ac:dyDescent="0.2"/>
  <cols>
    <col min="2" max="2" width="19.1640625" bestFit="1" customWidth="1"/>
    <col min="3" max="3" width="12.83203125" bestFit="1" customWidth="1"/>
    <col min="4" max="4" width="10.83203125" bestFit="1" customWidth="1"/>
  </cols>
  <sheetData>
    <row r="1" spans="2:9" x14ac:dyDescent="0.2">
      <c r="I1" s="44"/>
    </row>
    <row r="2" spans="2:9" x14ac:dyDescent="0.2">
      <c r="I2" s="45"/>
    </row>
    <row r="3" spans="2:9" x14ac:dyDescent="0.2">
      <c r="I3" s="45"/>
    </row>
    <row r="4" spans="2:9" x14ac:dyDescent="0.2">
      <c r="I4" s="45"/>
    </row>
    <row r="5" spans="2:9" ht="17" thickBot="1" x14ac:dyDescent="0.25">
      <c r="I5" s="45"/>
    </row>
    <row r="6" spans="2:9" x14ac:dyDescent="0.2">
      <c r="B6" s="47" t="s">
        <v>318</v>
      </c>
      <c r="C6" s="48" t="s">
        <v>471</v>
      </c>
      <c r="D6" s="49">
        <v>45392</v>
      </c>
      <c r="E6" s="48" t="s">
        <v>472</v>
      </c>
      <c r="F6" s="49">
        <v>45394</v>
      </c>
      <c r="G6" s="50"/>
      <c r="I6" s="45"/>
    </row>
    <row r="7" spans="2:9" x14ac:dyDescent="0.2">
      <c r="B7" s="53" t="s">
        <v>473</v>
      </c>
      <c r="C7" s="54"/>
      <c r="D7" s="54"/>
      <c r="E7" s="54"/>
      <c r="F7" s="55"/>
      <c r="G7" s="51">
        <f>SUBTOTAL(3,Data!C:C)-1</f>
        <v>586</v>
      </c>
      <c r="I7" s="45"/>
    </row>
    <row r="8" spans="2:9" x14ac:dyDescent="0.2">
      <c r="B8" s="53" t="s">
        <v>474</v>
      </c>
      <c r="C8" s="54"/>
      <c r="D8" s="54"/>
      <c r="E8" s="54"/>
      <c r="F8" s="55"/>
      <c r="G8" s="51" t="e">
        <f>SUBTOTAL(9,Data!#REF!)-1</f>
        <v>#REF!</v>
      </c>
      <c r="I8" s="45"/>
    </row>
    <row r="9" spans="2:9" x14ac:dyDescent="0.2">
      <c r="B9" s="59" t="s">
        <v>475</v>
      </c>
      <c r="C9" s="54"/>
      <c r="D9" s="54"/>
      <c r="E9" s="54"/>
      <c r="F9" s="56" t="e">
        <f>SUBTOTAL(3,Data!#REF!)-1</f>
        <v>#REF!</v>
      </c>
      <c r="G9" s="51" t="e">
        <f>G7-F9</f>
        <v>#REF!</v>
      </c>
      <c r="I9" s="45"/>
    </row>
    <row r="10" spans="2:9" x14ac:dyDescent="0.2">
      <c r="B10" s="53" t="s">
        <v>478</v>
      </c>
      <c r="C10" s="54"/>
      <c r="D10" s="54"/>
      <c r="E10" s="54"/>
      <c r="F10" s="61" t="e">
        <f>SUBTOTAL(3,Data!#REF!)-1</f>
        <v>#REF!</v>
      </c>
      <c r="G10" s="51" t="e">
        <f>G7-F10</f>
        <v>#REF!</v>
      </c>
      <c r="I10" s="45"/>
    </row>
    <row r="11" spans="2:9" x14ac:dyDescent="0.2">
      <c r="B11" s="53" t="s">
        <v>476</v>
      </c>
      <c r="C11" s="54"/>
      <c r="D11" s="54"/>
      <c r="E11" s="54"/>
      <c r="F11" s="61" t="e">
        <f>SUBTOTAL(3,Data!#REF!)-1</f>
        <v>#REF!</v>
      </c>
      <c r="G11" s="51" t="e">
        <f>G7-F11</f>
        <v>#REF!</v>
      </c>
      <c r="I11" s="45"/>
    </row>
    <row r="12" spans="2:9" x14ac:dyDescent="0.2">
      <c r="B12" s="53" t="s">
        <v>477</v>
      </c>
      <c r="C12" s="54"/>
      <c r="D12" s="54"/>
      <c r="E12" s="54"/>
      <c r="F12" s="61" t="e">
        <f>SUBTOTAL(3,Data!#REF!)-1</f>
        <v>#REF!</v>
      </c>
      <c r="G12" s="51" t="e">
        <f>G7-F12</f>
        <v>#REF!</v>
      </c>
      <c r="I12" s="45"/>
    </row>
    <row r="13" spans="2:9" ht="17" thickBot="1" x14ac:dyDescent="0.25">
      <c r="B13" s="58" t="s">
        <v>479</v>
      </c>
      <c r="C13" s="57"/>
      <c r="D13" s="57"/>
      <c r="E13" s="62"/>
      <c r="F13" s="60" t="e">
        <f>SUBTOTAL(3,Data!#REF!)-1</f>
        <v>#REF!</v>
      </c>
      <c r="G13" s="52">
        <f>(G7-E13)</f>
        <v>586</v>
      </c>
      <c r="I13" s="45"/>
    </row>
    <row r="14" spans="2:9" x14ac:dyDescent="0.2">
      <c r="I14" s="45"/>
    </row>
    <row r="15" spans="2:9" x14ac:dyDescent="0.2">
      <c r="I15" s="45"/>
    </row>
    <row r="16" spans="2:9" x14ac:dyDescent="0.2">
      <c r="I16" s="45"/>
    </row>
    <row r="17" spans="9:9" x14ac:dyDescent="0.2">
      <c r="I17" s="45"/>
    </row>
    <row r="18" spans="9:9" x14ac:dyDescent="0.2">
      <c r="I18" s="45"/>
    </row>
    <row r="19" spans="9:9" x14ac:dyDescent="0.2">
      <c r="I19" s="45"/>
    </row>
    <row r="20" spans="9:9" x14ac:dyDescent="0.2">
      <c r="I20" s="45"/>
    </row>
    <row r="21" spans="9:9" x14ac:dyDescent="0.2">
      <c r="I21" s="45"/>
    </row>
    <row r="22" spans="9:9" x14ac:dyDescent="0.2">
      <c r="I22" s="45"/>
    </row>
    <row r="23" spans="9:9" x14ac:dyDescent="0.2">
      <c r="I23" s="45"/>
    </row>
    <row r="24" spans="9:9" x14ac:dyDescent="0.2">
      <c r="I24" s="45"/>
    </row>
    <row r="25" spans="9:9" x14ac:dyDescent="0.2">
      <c r="I25" s="45"/>
    </row>
    <row r="26" spans="9:9" x14ac:dyDescent="0.2">
      <c r="I26" s="45"/>
    </row>
    <row r="27" spans="9:9" x14ac:dyDescent="0.2">
      <c r="I27" s="45"/>
    </row>
    <row r="28" spans="9:9" x14ac:dyDescent="0.2">
      <c r="I28" s="45"/>
    </row>
    <row r="29" spans="9:9" x14ac:dyDescent="0.2">
      <c r="I29" s="45"/>
    </row>
    <row r="30" spans="9:9" x14ac:dyDescent="0.2">
      <c r="I30" s="45"/>
    </row>
    <row r="31" spans="9:9" x14ac:dyDescent="0.2">
      <c r="I31" s="45"/>
    </row>
    <row r="32" spans="9:9" x14ac:dyDescent="0.2">
      <c r="I32" s="45"/>
    </row>
    <row r="33" spans="9:9" x14ac:dyDescent="0.2">
      <c r="I33" s="45"/>
    </row>
    <row r="34" spans="9:9" x14ac:dyDescent="0.2">
      <c r="I34" s="45"/>
    </row>
    <row r="35" spans="9:9" x14ac:dyDescent="0.2">
      <c r="I35" s="45"/>
    </row>
    <row r="36" spans="9:9" x14ac:dyDescent="0.2">
      <c r="I36" s="45"/>
    </row>
    <row r="37" spans="9:9" x14ac:dyDescent="0.2">
      <c r="I37" s="45"/>
    </row>
    <row r="38" spans="9:9" x14ac:dyDescent="0.2">
      <c r="I38" s="45"/>
    </row>
    <row r="39" spans="9:9" x14ac:dyDescent="0.2">
      <c r="I39" s="45"/>
    </row>
    <row r="40" spans="9:9" x14ac:dyDescent="0.2">
      <c r="I40" s="45"/>
    </row>
    <row r="41" spans="9:9" x14ac:dyDescent="0.2">
      <c r="I41" s="45"/>
    </row>
    <row r="42" spans="9:9" x14ac:dyDescent="0.2">
      <c r="I42" s="45"/>
    </row>
    <row r="43" spans="9:9" x14ac:dyDescent="0.2">
      <c r="I43" s="45"/>
    </row>
    <row r="44" spans="9:9" x14ac:dyDescent="0.2">
      <c r="I44" s="45"/>
    </row>
    <row r="45" spans="9:9" x14ac:dyDescent="0.2">
      <c r="I45" s="45"/>
    </row>
    <row r="46" spans="9:9" x14ac:dyDescent="0.2">
      <c r="I46" s="45"/>
    </row>
    <row r="47" spans="9:9" x14ac:dyDescent="0.2">
      <c r="I47" s="45"/>
    </row>
    <row r="48" spans="9:9" x14ac:dyDescent="0.2">
      <c r="I48" s="45"/>
    </row>
    <row r="49" spans="9:9" x14ac:dyDescent="0.2">
      <c r="I49" s="45"/>
    </row>
    <row r="50" spans="9:9" x14ac:dyDescent="0.2">
      <c r="I50" s="45"/>
    </row>
    <row r="51" spans="9:9" x14ac:dyDescent="0.2">
      <c r="I51" s="45"/>
    </row>
    <row r="52" spans="9:9" x14ac:dyDescent="0.2">
      <c r="I52" s="44"/>
    </row>
    <row r="53" spans="9:9" x14ac:dyDescent="0.2">
      <c r="I53" s="45"/>
    </row>
    <row r="54" spans="9:9" x14ac:dyDescent="0.2">
      <c r="I54" s="45"/>
    </row>
    <row r="55" spans="9:9" x14ac:dyDescent="0.2">
      <c r="I55" s="45"/>
    </row>
    <row r="56" spans="9:9" x14ac:dyDescent="0.2">
      <c r="I56" s="45"/>
    </row>
    <row r="57" spans="9:9" x14ac:dyDescent="0.2">
      <c r="I57" s="45"/>
    </row>
    <row r="58" spans="9:9" x14ac:dyDescent="0.2">
      <c r="I58" s="45"/>
    </row>
    <row r="59" spans="9:9" x14ac:dyDescent="0.2">
      <c r="I59" s="45"/>
    </row>
    <row r="60" spans="9:9" x14ac:dyDescent="0.2">
      <c r="I60" s="45"/>
    </row>
    <row r="61" spans="9:9" x14ac:dyDescent="0.2">
      <c r="I61" s="45"/>
    </row>
    <row r="62" spans="9:9" x14ac:dyDescent="0.2">
      <c r="I62" s="45"/>
    </row>
    <row r="63" spans="9:9" x14ac:dyDescent="0.2">
      <c r="I63" s="45"/>
    </row>
    <row r="64" spans="9:9" x14ac:dyDescent="0.2">
      <c r="I64" s="45"/>
    </row>
    <row r="65" spans="9:9" x14ac:dyDescent="0.2">
      <c r="I65" s="45"/>
    </row>
    <row r="66" spans="9:9" x14ac:dyDescent="0.2">
      <c r="I66" s="45"/>
    </row>
  </sheetData>
  <dataValidations count="1">
    <dataValidation type="date" allowBlank="1" showErrorMessage="1" sqref="D6" xr:uid="{F85DEF58-4C6E-5E4B-828A-7E23DBFFCE40}">
      <formula1>44747</formula1>
      <formula2>45478</formula2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3" r:id="rId3" name="Button 13">
              <controlPr defaultSize="0" print="0" autoFill="0" autoPict="0" macro="[0]!pil" altText="OK">
                <anchor moveWithCells="1" sizeWithCells="1">
                  <from>
                    <xdr:col>6</xdr:col>
                    <xdr:colOff>50800</xdr:colOff>
                    <xdr:row>5</xdr:row>
                    <xdr:rowOff>38100</xdr:rowOff>
                  </from>
                  <to>
                    <xdr:col>6</xdr:col>
                    <xdr:colOff>762000</xdr:colOff>
                    <xdr:row>5</xdr:row>
                    <xdr:rowOff>177800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43B5D3-7B38-E84D-B0E9-7EDB26BA5707}">
          <x14:formula1>
            <xm:f>Calculs!$AA$2:$AA$4</xm:f>
          </x14:formula1>
          <xm:sqref>B6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o C A A B Q S w M E F A A A C A g A 6 W s H W S x z 5 2 a n A A A A 9 w A A A B I A A A B D b 2 5 m a W c v U G F j a 2 F n Z S 5 4 b W x 7 v 3 u / j X 1 F b o 5 C W W p R c W Z + n q 2 S o Z 6 B k k J x S W J e S m J O f l 6 q r V J e v p K 9 H S + X T U B i c n Z i e q o C U H V e s V V F c Y q t U k Z J S Y G V v n 5 5 e b l e u b F e f l G 6 v p G B g a F + h K 9 P c H J G a m 6 i E l x x J m H F u p l 5 I G u T U 5 X s b M I g r r E z 0 j M 0 M t M z N b L Q M 7 D R h w n a + G b m I R Q Y A R 0 M k k U S t H E u z S k p L U q 1 S y v S d Q u y 0 Y d x b f S h f r A D A F B L A w Q U A A A I C A D p a w d Z K I p H u A 4 A A A A R A A A A E w A A A E Z v c m 1 1 b G F z L 1 N l Y 3 R p b 2 4 x L m 0 r T k 0 u y c z P U w i G 0 I b W A F B L A w Q U A A A I C A D p a w d Z U 3 I 4 L J s A A A D h A A A A E w A A A F t D b 2 5 0 Z W 5 0 X 1 R 5 c G V z X S 5 4 b W x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Q I U A x Q A A A g I A O l r B 1 k s c + d m p w A A A P c A A A A S A A A A A A A A A A A A A A C k A Q A A A A B D b 2 5 m a W c v U G F j a 2 F n Z S 5 4 b W x Q S w E C F A M U A A A I C A D p a w d Z K I p H u A 4 A A A A R A A A A E w A A A A A A A A A A A A A A p A H X A A A A R m 9 y b X V s Y X M v U 2 V j d G l v b j E u b V B L A Q I U A x Q A A A g I A O l r B 1 l T c j g s m w A A A O E A A A A T A A A A A A A A A A A A A A C k A R Y B A A B b Q 2 9 u d G V u d F 9 U e X B l c 1 0 u e G 1 s U E s F B g A A A A A D A A M A w g A A A O I B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7 A g A A M I I C 9 w Y J K o Z I h v c N A Q c D o I I C 6 D C C A u Q C A Q A x g g J f M I I C W w I B A D B D M D c x N T A z B g N V B A M T L E 1 p Y 3 J v c 2 9 m d C 5 P Z m Z p Y 2 U u R X h j Z W w u U H J v d G V j d G V k R G F 0 Y V N l c n Z p Y 2 V z A g g q q 7 B 2 Y h Y R Z D A N B g k q h k i G 9 w 0 B A Q E F A A S C A g A l R T B B j E y l I 2 E k k S 6 z 6 l t G C D 0 D N n m i I i 8 v 3 o t k 2 o S l e 6 v G P z V 9 h U G v o M N d d L P J k c u 8 N 3 g V z c g o d w K + G s X s Z p K H 2 J Y K + + Q w + s k u R E l g h L 9 x N X C 6 d V T Q a a F 0 Z g 5 C Z S L b M H 5 t b X F G f c 1 0 F k O g e x N G T h N A g + z S Y F B V + c y g V l J D B b O L N 0 e a h 4 H j + p N N c G / 5 K v Y 0 Z Q t r k K d a W f J C L / l J S h x h C l z 3 M C l i f X U a y I u O / A 8 k v A / z D 7 q 1 x 3 Q Y R h H 9 D p C 5 + p L r R g b A z v 0 q m u e 6 N n q T b Y j v P S F 0 D 5 P O g y K D 2 p m o Z K G Z 2 m X n x I V v g c l X W x 9 i F E D t l r 7 2 y j V T g G J i 7 L W r 4 P b i P R J V 7 W I H K K e v Y 8 r i f l f o e K W o 0 w v N u y g u B 3 z x s X 0 X R 0 H 2 O M 0 + 0 V J 0 9 B d t 7 2 X N U G s c 9 T z q R 2 2 F B + U r i t w D 2 E / h m L w F 7 i H S x k 8 g j K v K k n s m Q / Z d 7 m X p V T T B r U S r Q G J T K U s 8 t e 5 E Y l K 5 I N B d 5 U A R n o I g p f t W v g G p 2 d r d H l m A K r Q G Q u L x h O j t r E u 4 i q o B Q / h Y A L k g l K H N o M m Q m 7 H H P k K m L r M G 2 7 p O 1 i F D q 1 n f 6 o n 3 5 u M t 2 1 B o 5 E 7 J z t J G F c d A P + p + o z F M n 0 q u C O 7 t c 0 H c T Y u p B h + q 6 2 + e N b o A x c c H D c 0 H U H v 7 J 0 9 + G V E A 7 Q u m R D d J A c 4 B y b C D A b k R S 2 U G E 9 M J z V E Z Z T 6 V G v t X / W A U N z B 8 B g k q h k i G 9 w 0 B B w E w H Q Y J Y I Z I A W U D B A E q B B A h L O q q 6 8 Q 0 Q b c M Z H m / o o l H g F C U x k V i U S b P G K z l L R 1 t j I k R g L P S R K A g v m t h N s C u T / g M o 8 D a a D 1 Z 8 R n e 3 9 S y y A 7 u X W n k 6 I G T C U T V Z J h s D 0 n q 1 K X c x P j C F 3 y G / V b d Z 1 G Z U F p j h A = = < / D a t a M a s h u p > 
</file>

<file path=customXml/itemProps1.xml><?xml version="1.0" encoding="utf-8"?>
<ds:datastoreItem xmlns:ds="http://schemas.openxmlformats.org/officeDocument/2006/customXml" ds:itemID="{594D375C-FAFE-49C7-BB65-DE7199723FF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14</vt:i4>
      </vt:variant>
    </vt:vector>
  </HeadingPairs>
  <TitlesOfParts>
    <vt:vector size="19" baseType="lpstr">
      <vt:lpstr>Stats</vt:lpstr>
      <vt:lpstr>Data</vt:lpstr>
      <vt:lpstr>Calculs</vt:lpstr>
      <vt:lpstr>Top AS</vt:lpstr>
      <vt:lpstr>Pilotage</vt:lpstr>
      <vt:lpstr>e</vt:lpstr>
      <vt:lpstr>ferme</vt:lpstr>
      <vt:lpstr>nbrpe</vt:lpstr>
      <vt:lpstr>nbrrqth</vt:lpstr>
      <vt:lpstr>nbrrsa</vt:lpstr>
      <vt:lpstr>nonvalides</vt:lpstr>
      <vt:lpstr>nope</vt:lpstr>
      <vt:lpstr>perrqth</vt:lpstr>
      <vt:lpstr>perrsa</vt:lpstr>
      <vt:lpstr>prescrits</vt:lpstr>
      <vt:lpstr>refus</vt:lpstr>
      <vt:lpstr>refuse</vt:lpstr>
      <vt:lpstr>Data!req</vt:lpstr>
      <vt:lpstr>valides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Emanuel CHAPPAZ</cp:lastModifiedBy>
  <cp:lastPrinted>2023-11-17T13:57:48Z</cp:lastPrinted>
  <dcterms:created xsi:type="dcterms:W3CDTF">2021-05-02T10:46:23Z</dcterms:created>
  <dcterms:modified xsi:type="dcterms:W3CDTF">2025-10-29T15:41:41Z</dcterms:modified>
  <cp:category/>
</cp:coreProperties>
</file>